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cunovodstvo\Desktop\DOKUMENTI\IZVJEŠTAJI O IZVRŠENJU PLANOVA\"/>
    </mc:Choice>
  </mc:AlternateContent>
  <bookViews>
    <workbookView xWindow="0" yWindow="0" windowWidth="28800" windowHeight="12330" firstSheet="3" activeTab="6"/>
  </bookViews>
  <sheets>
    <sheet name="Izvještaj o izvr.proračuna OPĆI" sheetId="1" r:id="rId1"/>
    <sheet name="Prihodi i rashodi prema ekonoms" sheetId="2" r:id="rId2"/>
    <sheet name="Prihodi i rashodi prema izvorim" sheetId="3" r:id="rId3"/>
    <sheet name="Izvještaj po funkcijskoj klasif" sheetId="13" r:id="rId4"/>
    <sheet name="Račun financiranja prema ekonom" sheetId="14" r:id="rId5"/>
    <sheet name="Račun financiranja prema izvori" sheetId="15" r:id="rId6"/>
    <sheet name="Izvještaj po programskoj k" sheetId="11" r:id="rId7"/>
    <sheet name="List1" sheetId="12" r:id="rId8"/>
  </sheets>
  <definedNames>
    <definedName name="_xlnm.Print_Area" localSheetId="6">'Izvještaj po programskoj k'!$A$1:$F$432</definedName>
  </definedNames>
  <calcPr calcId="162913"/>
</workbook>
</file>

<file path=xl/calcChain.xml><?xml version="1.0" encoding="utf-8"?>
<calcChain xmlns="http://schemas.openxmlformats.org/spreadsheetml/2006/main">
  <c r="F412" i="11" l="1"/>
  <c r="F411" i="11"/>
  <c r="F398" i="11"/>
  <c r="F397" i="11"/>
  <c r="F393" i="11"/>
  <c r="F276" i="11"/>
  <c r="F270" i="11"/>
  <c r="F259" i="11"/>
  <c r="F237" i="11"/>
  <c r="F159" i="11"/>
  <c r="F103" i="11"/>
  <c r="F63" i="11"/>
  <c r="F53" i="11"/>
  <c r="F432" i="11" l="1"/>
  <c r="E263" i="11"/>
  <c r="E260" i="11" s="1"/>
  <c r="E259" i="11" s="1"/>
  <c r="D263" i="11"/>
  <c r="D260" i="11" s="1"/>
  <c r="D259" i="11" s="1"/>
  <c r="C263" i="11"/>
  <c r="C260" i="11" s="1"/>
  <c r="C259" i="11" s="1"/>
  <c r="E261" i="11"/>
  <c r="D261" i="11"/>
  <c r="C261" i="11"/>
  <c r="E314" i="11"/>
  <c r="E313" i="11" s="1"/>
  <c r="D314" i="11"/>
  <c r="D313" i="11" s="1"/>
  <c r="C314" i="11"/>
  <c r="C313" i="11" s="1"/>
  <c r="E311" i="11"/>
  <c r="E310" i="11" s="1"/>
  <c r="D311" i="11"/>
  <c r="D310" i="11" s="1"/>
  <c r="C311" i="11"/>
  <c r="C310" i="11" s="1"/>
  <c r="E222" i="11"/>
  <c r="D222" i="11"/>
  <c r="C222" i="11"/>
  <c r="D96" i="11"/>
  <c r="D86" i="11"/>
  <c r="D19" i="11"/>
  <c r="E126" i="11"/>
  <c r="E125" i="11" s="1"/>
  <c r="D126" i="11"/>
  <c r="D125" i="11" s="1"/>
  <c r="D128" i="11" s="1"/>
  <c r="C126" i="11"/>
  <c r="C125" i="11" s="1"/>
  <c r="C128" i="11" s="1"/>
  <c r="E135" i="11"/>
  <c r="D135" i="11"/>
  <c r="T50" i="3"/>
  <c r="T49" i="3"/>
  <c r="T39" i="3"/>
  <c r="C309" i="11" l="1"/>
  <c r="E309" i="11"/>
  <c r="D309" i="11"/>
  <c r="F309" i="11" s="1"/>
  <c r="F313" i="11"/>
  <c r="F310" i="11"/>
  <c r="F125" i="11"/>
  <c r="E128" i="11"/>
  <c r="F128" i="11" s="1"/>
  <c r="F260" i="11" l="1"/>
  <c r="N28" i="3" l="1"/>
  <c r="C42" i="2"/>
  <c r="E18" i="1"/>
  <c r="N16" i="3"/>
  <c r="N15" i="3"/>
  <c r="D43" i="2"/>
  <c r="D42" i="2"/>
  <c r="D12" i="1"/>
  <c r="D15" i="1"/>
  <c r="C12" i="1"/>
  <c r="F399" i="11" l="1"/>
  <c r="E399" i="11"/>
  <c r="D399" i="11"/>
  <c r="C399" i="11"/>
  <c r="E230" i="11"/>
  <c r="E229" i="11" s="1"/>
  <c r="E228" i="11" s="1"/>
  <c r="D230" i="11"/>
  <c r="D229" i="11" s="1"/>
  <c r="D228" i="11" s="1"/>
  <c r="C230" i="11"/>
  <c r="C229" i="11" s="1"/>
  <c r="C228" i="11" s="1"/>
  <c r="E212" i="11"/>
  <c r="E211" i="11" s="1"/>
  <c r="D212" i="11"/>
  <c r="D211" i="11" s="1"/>
  <c r="C212" i="11"/>
  <c r="C211" i="11" s="1"/>
  <c r="E204" i="11"/>
  <c r="D204" i="11"/>
  <c r="C204" i="11"/>
  <c r="E163" i="11"/>
  <c r="D163" i="11"/>
  <c r="C163" i="11"/>
  <c r="E248" i="11"/>
  <c r="D248" i="11"/>
  <c r="C248" i="11"/>
  <c r="E283" i="11"/>
  <c r="D283" i="11"/>
  <c r="C283" i="11"/>
  <c r="E279" i="11"/>
  <c r="D279" i="11"/>
  <c r="C279" i="11"/>
  <c r="E277" i="11"/>
  <c r="D277" i="11"/>
  <c r="C277" i="11"/>
  <c r="E274" i="11"/>
  <c r="D274" i="11"/>
  <c r="C274" i="11"/>
  <c r="E272" i="11"/>
  <c r="D272" i="11"/>
  <c r="C272" i="11"/>
  <c r="E160" i="11"/>
  <c r="D160" i="11"/>
  <c r="C160" i="11"/>
  <c r="F394" i="11"/>
  <c r="E394" i="11"/>
  <c r="E393" i="11" s="1"/>
  <c r="D394" i="11"/>
  <c r="D393" i="11" s="1"/>
  <c r="C394" i="11"/>
  <c r="D16" i="13"/>
  <c r="C16" i="13"/>
  <c r="N38" i="3"/>
  <c r="P48" i="3"/>
  <c r="P38" i="3"/>
  <c r="L48" i="3"/>
  <c r="L38" i="3"/>
  <c r="R28" i="3"/>
  <c r="P17" i="3"/>
  <c r="P22" i="3"/>
  <c r="D112" i="2"/>
  <c r="D65" i="2"/>
  <c r="D64" i="2"/>
  <c r="D61" i="2"/>
  <c r="D59" i="2"/>
  <c r="D55" i="2"/>
  <c r="D114" i="2"/>
  <c r="D108" i="2"/>
  <c r="D71" i="2"/>
  <c r="D95" i="2"/>
  <c r="D92" i="2"/>
  <c r="D91" i="2"/>
  <c r="D90" i="2"/>
  <c r="D89" i="2"/>
  <c r="D88" i="2"/>
  <c r="D86" i="2"/>
  <c r="D84" i="2"/>
  <c r="D83" i="2"/>
  <c r="D82" i="2"/>
  <c r="D81" i="2"/>
  <c r="D80" i="2"/>
  <c r="D79" i="2"/>
  <c r="D78" i="2"/>
  <c r="D77" i="2"/>
  <c r="D76" i="2"/>
  <c r="D74" i="2"/>
  <c r="D73" i="2"/>
  <c r="D72" i="2"/>
  <c r="D69" i="2"/>
  <c r="D67" i="2"/>
  <c r="D66" i="2"/>
  <c r="D99" i="2"/>
  <c r="D70" i="2"/>
  <c r="D57" i="2"/>
  <c r="D56" i="2"/>
  <c r="D102" i="2"/>
  <c r="D104" i="2"/>
  <c r="C65" i="2"/>
  <c r="C64" i="2"/>
  <c r="C61" i="2"/>
  <c r="C59" i="2"/>
  <c r="C55" i="2"/>
  <c r="C114" i="2"/>
  <c r="C108" i="2"/>
  <c r="C71" i="2"/>
  <c r="C95" i="2"/>
  <c r="C92" i="2"/>
  <c r="C89" i="2"/>
  <c r="C86" i="2"/>
  <c r="C84" i="2"/>
  <c r="C83" i="2"/>
  <c r="C82" i="2"/>
  <c r="C81" i="2"/>
  <c r="C80" i="2"/>
  <c r="C79" i="2"/>
  <c r="C78" i="2"/>
  <c r="C77" i="2"/>
  <c r="C76" i="2"/>
  <c r="C74" i="2"/>
  <c r="C73" i="2"/>
  <c r="C72" i="2"/>
  <c r="C69" i="2"/>
  <c r="C67" i="2"/>
  <c r="C66" i="2"/>
  <c r="C99" i="2"/>
  <c r="C70" i="2"/>
  <c r="C57" i="2"/>
  <c r="C56" i="2"/>
  <c r="C102" i="2"/>
  <c r="C104" i="2"/>
  <c r="F228" i="11" l="1"/>
  <c r="F229" i="11"/>
  <c r="E159" i="11"/>
  <c r="D159" i="11"/>
  <c r="C159" i="11"/>
  <c r="F211" i="11"/>
  <c r="C276" i="11"/>
  <c r="E276" i="11"/>
  <c r="D276" i="11"/>
  <c r="C271" i="11"/>
  <c r="C270" i="11" s="1"/>
  <c r="D271" i="11"/>
  <c r="E271" i="11"/>
  <c r="L15" i="3"/>
  <c r="T27" i="3"/>
  <c r="T26" i="3"/>
  <c r="J26" i="3"/>
  <c r="R26" i="3" s="1"/>
  <c r="T16" i="3"/>
  <c r="J16" i="3"/>
  <c r="R16" i="3" s="1"/>
  <c r="D22" i="2"/>
  <c r="C22" i="2"/>
  <c r="F85" i="11"/>
  <c r="E85" i="11"/>
  <c r="D85" i="11"/>
  <c r="C85" i="11"/>
  <c r="E94" i="11"/>
  <c r="E93" i="11" s="1"/>
  <c r="D94" i="11"/>
  <c r="D93" i="11" s="1"/>
  <c r="D97" i="11" s="1"/>
  <c r="C94" i="11"/>
  <c r="C93" i="11" s="1"/>
  <c r="C97" i="11" s="1"/>
  <c r="C19" i="11"/>
  <c r="E19" i="11"/>
  <c r="C66" i="11"/>
  <c r="C64" i="11"/>
  <c r="E66" i="11"/>
  <c r="D66" i="11"/>
  <c r="E104" i="11"/>
  <c r="E103" i="11" s="1"/>
  <c r="D104" i="11"/>
  <c r="D103" i="11" s="1"/>
  <c r="C104" i="11"/>
  <c r="C103" i="11" s="1"/>
  <c r="E64" i="11"/>
  <c r="D64" i="11"/>
  <c r="E94" i="2"/>
  <c r="D94" i="2"/>
  <c r="C94" i="2"/>
  <c r="B94" i="2"/>
  <c r="E19" i="2"/>
  <c r="D270" i="11" l="1"/>
  <c r="F271" i="11"/>
  <c r="E270" i="11"/>
  <c r="D63" i="11"/>
  <c r="D68" i="11" s="1"/>
  <c r="F93" i="11"/>
  <c r="E97" i="11"/>
  <c r="F97" i="11" s="1"/>
  <c r="C63" i="11"/>
  <c r="C68" i="11" s="1"/>
  <c r="E63" i="11"/>
  <c r="E68" i="11" s="1"/>
  <c r="C106" i="11"/>
  <c r="D106" i="11"/>
  <c r="E106" i="11"/>
  <c r="F68" i="11" l="1"/>
  <c r="F106" i="11"/>
  <c r="E209" i="11" l="1"/>
  <c r="J51" i="3"/>
  <c r="J48" i="3"/>
  <c r="J40" i="3"/>
  <c r="J38" i="3"/>
  <c r="J22" i="3"/>
  <c r="B22" i="1"/>
  <c r="D209" i="11" l="1"/>
  <c r="E331" i="11"/>
  <c r="D331" i="11"/>
  <c r="C331" i="11"/>
  <c r="E199" i="11"/>
  <c r="D199" i="11"/>
  <c r="C199" i="11"/>
  <c r="D201" i="11"/>
  <c r="E413" i="11" l="1"/>
  <c r="E412" i="11" s="1"/>
  <c r="E411" i="11" s="1"/>
  <c r="D413" i="11"/>
  <c r="D412" i="11" s="1"/>
  <c r="D411" i="11" s="1"/>
  <c r="C413" i="11"/>
  <c r="C412" i="11" s="1"/>
  <c r="C411" i="11" s="1"/>
  <c r="E201" i="11"/>
  <c r="C201" i="11"/>
  <c r="E182" i="11"/>
  <c r="D182" i="11"/>
  <c r="C182" i="11"/>
  <c r="C198" i="11" l="1"/>
  <c r="D198" i="11"/>
  <c r="E198" i="11"/>
  <c r="E14" i="13"/>
  <c r="D14" i="13"/>
  <c r="C14" i="13"/>
  <c r="B14" i="13"/>
  <c r="L55" i="3"/>
  <c r="E24" i="2"/>
  <c r="D24" i="2"/>
  <c r="C24" i="2"/>
  <c r="F198" i="11" l="1"/>
  <c r="E429" i="11"/>
  <c r="E428" i="11" s="1"/>
  <c r="D429" i="11"/>
  <c r="D428" i="11" s="1"/>
  <c r="C429" i="11"/>
  <c r="C428" i="11" s="1"/>
  <c r="E426" i="11"/>
  <c r="D426" i="11"/>
  <c r="C426" i="11"/>
  <c r="E424" i="11"/>
  <c r="D424" i="11"/>
  <c r="C424" i="11"/>
  <c r="E422" i="11"/>
  <c r="D422" i="11"/>
  <c r="C422" i="11"/>
  <c r="F15" i="13"/>
  <c r="G15" i="13"/>
  <c r="E22" i="1"/>
  <c r="D22" i="1"/>
  <c r="C22" i="1"/>
  <c r="E421" i="11" l="1"/>
  <c r="D421" i="11"/>
  <c r="D420" i="11" s="1"/>
  <c r="C421" i="11"/>
  <c r="C420" i="11" s="1"/>
  <c r="F428" i="11"/>
  <c r="F421" i="11" l="1"/>
  <c r="E420" i="11"/>
  <c r="F420" i="11" s="1"/>
  <c r="D242" i="11" l="1"/>
  <c r="C242" i="11"/>
  <c r="E190" i="11"/>
  <c r="D190" i="11"/>
  <c r="C190" i="11"/>
  <c r="E185" i="11"/>
  <c r="D185" i="11"/>
  <c r="C185" i="11"/>
  <c r="C299" i="11"/>
  <c r="C239" i="11"/>
  <c r="N47" i="3" l="1"/>
  <c r="L47" i="3"/>
  <c r="E242" i="11" l="1"/>
  <c r="E299" i="11"/>
  <c r="D299" i="11"/>
  <c r="E297" i="11"/>
  <c r="D297" i="11"/>
  <c r="C297" i="11"/>
  <c r="E225" i="11"/>
  <c r="D225" i="11"/>
  <c r="C225" i="11"/>
  <c r="E153" i="11"/>
  <c r="D153" i="11"/>
  <c r="C153" i="11"/>
  <c r="E18" i="11"/>
  <c r="C84" i="11"/>
  <c r="C87" i="11" s="1"/>
  <c r="E84" i="11"/>
  <c r="D221" i="11" l="1"/>
  <c r="D220" i="11" s="1"/>
  <c r="C221" i="11"/>
  <c r="C220" i="11" s="1"/>
  <c r="E221" i="11"/>
  <c r="E220" i="11" s="1"/>
  <c r="D84" i="11"/>
  <c r="D87" i="11" s="1"/>
  <c r="E87" i="11"/>
  <c r="F84" i="11" l="1"/>
  <c r="F87" i="11"/>
  <c r="B85" i="2"/>
  <c r="L18" i="3" l="1"/>
  <c r="N18" i="3"/>
  <c r="D18" i="11" l="1"/>
  <c r="C334" i="11" l="1"/>
  <c r="D334" i="11"/>
  <c r="E334" i="11"/>
  <c r="E252" i="11"/>
  <c r="D252" i="11"/>
  <c r="D251" i="11" s="1"/>
  <c r="C252" i="11"/>
  <c r="C251" i="11" s="1"/>
  <c r="E339" i="11"/>
  <c r="E338" i="11" s="1"/>
  <c r="D339" i="11"/>
  <c r="D338" i="11" s="1"/>
  <c r="C339" i="11"/>
  <c r="C338" i="11" s="1"/>
  <c r="E336" i="11"/>
  <c r="D336" i="11"/>
  <c r="C336" i="11"/>
  <c r="E329" i="11"/>
  <c r="D329" i="11"/>
  <c r="C329" i="11"/>
  <c r="E325" i="11"/>
  <c r="D325" i="11"/>
  <c r="C325" i="11"/>
  <c r="E178" i="11"/>
  <c r="D178" i="11"/>
  <c r="D177" i="11" s="1"/>
  <c r="E175" i="11"/>
  <c r="E174" i="11" s="1"/>
  <c r="D175" i="11"/>
  <c r="D174" i="11" s="1"/>
  <c r="C178" i="11"/>
  <c r="C177" i="11" s="1"/>
  <c r="E188" i="11"/>
  <c r="E187" i="11" s="1"/>
  <c r="D188" i="11"/>
  <c r="D187" i="11" s="1"/>
  <c r="C188" i="11"/>
  <c r="C187" i="11" s="1"/>
  <c r="C175" i="11"/>
  <c r="C174" i="11" s="1"/>
  <c r="C18" i="11"/>
  <c r="C173" i="11" l="1"/>
  <c r="E177" i="11"/>
  <c r="C324" i="11"/>
  <c r="D333" i="11"/>
  <c r="E324" i="11"/>
  <c r="E333" i="11"/>
  <c r="C333" i="11"/>
  <c r="D324" i="11"/>
  <c r="E251" i="11"/>
  <c r="F251" i="11" s="1"/>
  <c r="F338" i="11"/>
  <c r="D173" i="11"/>
  <c r="P14" i="3"/>
  <c r="N14" i="3"/>
  <c r="L14" i="3"/>
  <c r="J14" i="3"/>
  <c r="D323" i="11" l="1"/>
  <c r="F187" i="11"/>
  <c r="C323" i="11"/>
  <c r="E323" i="11"/>
  <c r="F333" i="11"/>
  <c r="F324" i="11"/>
  <c r="E173" i="11"/>
  <c r="C101" i="2"/>
  <c r="B101" i="2"/>
  <c r="E16" i="2"/>
  <c r="D16" i="2"/>
  <c r="B16" i="2"/>
  <c r="C16" i="2"/>
  <c r="F323" i="11" l="1"/>
  <c r="E101" i="2"/>
  <c r="D101" i="2"/>
  <c r="C75" i="2"/>
  <c r="D13" i="13" l="1"/>
  <c r="C13" i="13"/>
  <c r="E13" i="13" l="1"/>
  <c r="G13" i="13" s="1"/>
  <c r="G14" i="13"/>
  <c r="G16" i="13"/>
  <c r="D302" i="11"/>
  <c r="E116" i="11"/>
  <c r="D116" i="11"/>
  <c r="C116" i="11"/>
  <c r="E166" i="11"/>
  <c r="E165" i="11" s="1"/>
  <c r="D166" i="11"/>
  <c r="D165" i="11" s="1"/>
  <c r="C166" i="11"/>
  <c r="C165" i="11" s="1"/>
  <c r="F29" i="11"/>
  <c r="E30" i="11"/>
  <c r="E29" i="11" s="1"/>
  <c r="D30" i="11"/>
  <c r="D29" i="11" s="1"/>
  <c r="C30" i="11"/>
  <c r="C29" i="11" s="1"/>
  <c r="R53" i="3"/>
  <c r="R51" i="3"/>
  <c r="R48" i="3"/>
  <c r="R46" i="3"/>
  <c r="R45" i="3"/>
  <c r="R42" i="3"/>
  <c r="F165" i="11" l="1"/>
  <c r="R30" i="3"/>
  <c r="T54" i="3"/>
  <c r="T28" i="3"/>
  <c r="T23" i="3"/>
  <c r="P29" i="3"/>
  <c r="N29" i="3"/>
  <c r="L29" i="3"/>
  <c r="J29" i="3"/>
  <c r="T31" i="3"/>
  <c r="R29" i="3" l="1"/>
  <c r="D98" i="2"/>
  <c r="E49" i="2" l="1"/>
  <c r="E48" i="2" s="1"/>
  <c r="E47" i="2" s="1"/>
  <c r="D49" i="2"/>
  <c r="D48" i="2" s="1"/>
  <c r="D47" i="2" s="1"/>
  <c r="C49" i="2"/>
  <c r="C48" i="2" s="1"/>
  <c r="C47" i="2" s="1"/>
  <c r="B49" i="2"/>
  <c r="B48" i="2" s="1"/>
  <c r="B47" i="2" s="1"/>
  <c r="E17" i="1"/>
  <c r="E245" i="11" l="1"/>
  <c r="E155" i="11"/>
  <c r="D344" i="11"/>
  <c r="D343" i="11" s="1"/>
  <c r="E344" i="11"/>
  <c r="E343" i="11" s="1"/>
  <c r="E342" i="11" s="1"/>
  <c r="D301" i="11"/>
  <c r="E302" i="11"/>
  <c r="D294" i="11"/>
  <c r="E294" i="11"/>
  <c r="D292" i="11"/>
  <c r="E292" i="11"/>
  <c r="D245" i="11"/>
  <c r="D239" i="11"/>
  <c r="E239" i="11"/>
  <c r="D207" i="11"/>
  <c r="E207" i="11"/>
  <c r="D157" i="11"/>
  <c r="E157" i="11"/>
  <c r="D155" i="11"/>
  <c r="D402" i="11"/>
  <c r="D398" i="11" s="1"/>
  <c r="D397" i="11" s="1"/>
  <c r="D392" i="11" s="1"/>
  <c r="E402" i="11"/>
  <c r="E398" i="11" s="1"/>
  <c r="E397" i="11" s="1"/>
  <c r="D385" i="11"/>
  <c r="D384" i="11" s="1"/>
  <c r="E385" i="11"/>
  <c r="E384" i="11" s="1"/>
  <c r="D378" i="11"/>
  <c r="E378" i="11"/>
  <c r="D376" i="11"/>
  <c r="E376" i="11"/>
  <c r="D366" i="11"/>
  <c r="E366" i="11"/>
  <c r="E360" i="11"/>
  <c r="D360" i="11"/>
  <c r="E356" i="11"/>
  <c r="D356" i="11"/>
  <c r="C344" i="11"/>
  <c r="C343" i="11" s="1"/>
  <c r="C342" i="11" s="1"/>
  <c r="C292" i="11"/>
  <c r="C294" i="11"/>
  <c r="C302" i="11"/>
  <c r="C301" i="11" s="1"/>
  <c r="C245" i="11"/>
  <c r="C238" i="11" s="1"/>
  <c r="C237" i="11" s="1"/>
  <c r="C207" i="11"/>
  <c r="C209" i="11"/>
  <c r="C155" i="11"/>
  <c r="C157" i="11"/>
  <c r="C402" i="11"/>
  <c r="C398" i="11" s="1"/>
  <c r="C397" i="11" s="1"/>
  <c r="C393" i="11" l="1"/>
  <c r="C392" i="11" s="1"/>
  <c r="E392" i="11"/>
  <c r="F392" i="11" s="1"/>
  <c r="E238" i="11"/>
  <c r="E237" i="11" s="1"/>
  <c r="E203" i="11"/>
  <c r="E197" i="11" s="1"/>
  <c r="E291" i="11"/>
  <c r="D203" i="11"/>
  <c r="D197" i="11" s="1"/>
  <c r="C203" i="11"/>
  <c r="C197" i="11" s="1"/>
  <c r="D238" i="11"/>
  <c r="D237" i="11" s="1"/>
  <c r="D291" i="11"/>
  <c r="D290" i="11" s="1"/>
  <c r="C291" i="11"/>
  <c r="C290" i="11" s="1"/>
  <c r="F173" i="11"/>
  <c r="E301" i="11"/>
  <c r="F301" i="11" s="1"/>
  <c r="F384" i="11"/>
  <c r="D342" i="11"/>
  <c r="F342" i="11" s="1"/>
  <c r="F343" i="11"/>
  <c r="F177" i="11"/>
  <c r="D152" i="11"/>
  <c r="D355" i="11"/>
  <c r="D354" i="11" s="1"/>
  <c r="E152" i="11"/>
  <c r="E355" i="11"/>
  <c r="E354" i="11" s="1"/>
  <c r="C152" i="11"/>
  <c r="C385" i="11"/>
  <c r="C384" i="11" s="1"/>
  <c r="C378" i="11"/>
  <c r="C376" i="11"/>
  <c r="C366" i="11"/>
  <c r="C360" i="11"/>
  <c r="C356" i="11"/>
  <c r="E134" i="11"/>
  <c r="E137" i="11" s="1"/>
  <c r="D134" i="11"/>
  <c r="D137" i="11" s="1"/>
  <c r="C135" i="11"/>
  <c r="C134" i="11" s="1"/>
  <c r="C137" i="11" s="1"/>
  <c r="E115" i="11"/>
  <c r="E119" i="11" s="1"/>
  <c r="E139" i="11" s="1"/>
  <c r="D115" i="11"/>
  <c r="D119" i="11" s="1"/>
  <c r="D139" i="11" s="1"/>
  <c r="C115" i="11"/>
  <c r="C119" i="11" s="1"/>
  <c r="C139" i="11" s="1"/>
  <c r="E27" i="11"/>
  <c r="D27" i="11"/>
  <c r="C27" i="11"/>
  <c r="C26" i="11" s="1"/>
  <c r="C32" i="11" s="1"/>
  <c r="E45" i="11"/>
  <c r="D45" i="11"/>
  <c r="D44" i="11" s="1"/>
  <c r="C45" i="11"/>
  <c r="C44" i="11" s="1"/>
  <c r="E17" i="11"/>
  <c r="E20" i="11" s="1"/>
  <c r="D17" i="11"/>
  <c r="D20" i="11" s="1"/>
  <c r="C17" i="11"/>
  <c r="C20" i="11" s="1"/>
  <c r="E75" i="11"/>
  <c r="E74" i="11" s="1"/>
  <c r="D75" i="11"/>
  <c r="C75" i="11"/>
  <c r="E42" i="11"/>
  <c r="E41" i="11" s="1"/>
  <c r="D42" i="11"/>
  <c r="D41" i="11" s="1"/>
  <c r="C42" i="11"/>
  <c r="C41" i="11" s="1"/>
  <c r="E39" i="11"/>
  <c r="E38" i="11" s="1"/>
  <c r="D39" i="11"/>
  <c r="D38" i="11" s="1"/>
  <c r="C39" i="11"/>
  <c r="C38" i="11" s="1"/>
  <c r="E54" i="11"/>
  <c r="E53" i="11" s="1"/>
  <c r="D54" i="11"/>
  <c r="D53" i="11" s="1"/>
  <c r="C54" i="11"/>
  <c r="C53" i="11" s="1"/>
  <c r="T53" i="3"/>
  <c r="T51" i="3"/>
  <c r="T48" i="3"/>
  <c r="T46" i="3"/>
  <c r="T45" i="3"/>
  <c r="T42" i="3"/>
  <c r="T40" i="3"/>
  <c r="T38" i="3"/>
  <c r="T30" i="3"/>
  <c r="T25" i="3"/>
  <c r="T22" i="3"/>
  <c r="T19" i="3"/>
  <c r="T17" i="3"/>
  <c r="T15" i="3"/>
  <c r="R40" i="3"/>
  <c r="R38" i="3"/>
  <c r="R22" i="3"/>
  <c r="R19" i="3"/>
  <c r="R15" i="3"/>
  <c r="P24" i="3"/>
  <c r="N24" i="3"/>
  <c r="L24" i="3"/>
  <c r="J24" i="3"/>
  <c r="P21" i="3"/>
  <c r="N21" i="3"/>
  <c r="L21" i="3"/>
  <c r="J21" i="3"/>
  <c r="P18" i="3"/>
  <c r="J18" i="3"/>
  <c r="F197" i="11" l="1"/>
  <c r="E290" i="11"/>
  <c r="F290" i="11" s="1"/>
  <c r="D78" i="11"/>
  <c r="D74" i="11"/>
  <c r="F74" i="11" s="1"/>
  <c r="C78" i="11"/>
  <c r="C74" i="11"/>
  <c r="F174" i="11"/>
  <c r="D57" i="11"/>
  <c r="C57" i="11"/>
  <c r="C151" i="11"/>
  <c r="C432" i="11" s="1"/>
  <c r="D151" i="11"/>
  <c r="D432" i="11" s="1"/>
  <c r="E151" i="11"/>
  <c r="E432" i="11" s="1"/>
  <c r="F152" i="11"/>
  <c r="R24" i="3"/>
  <c r="T21" i="3"/>
  <c r="T24" i="3"/>
  <c r="T18" i="3"/>
  <c r="R21" i="3"/>
  <c r="R18" i="3"/>
  <c r="F291" i="11"/>
  <c r="F238" i="11"/>
  <c r="F220" i="11"/>
  <c r="F221" i="11"/>
  <c r="F203" i="11"/>
  <c r="F355" i="11"/>
  <c r="F137" i="11"/>
  <c r="F41" i="11"/>
  <c r="F17" i="11"/>
  <c r="F38" i="11"/>
  <c r="C355" i="11"/>
  <c r="C354" i="11" s="1"/>
  <c r="E78" i="11"/>
  <c r="F119" i="11"/>
  <c r="C47" i="11"/>
  <c r="F115" i="11"/>
  <c r="F20" i="11"/>
  <c r="D47" i="11"/>
  <c r="F134" i="11"/>
  <c r="D26" i="11"/>
  <c r="D32" i="11" s="1"/>
  <c r="E26" i="11"/>
  <c r="E32" i="11" s="1"/>
  <c r="E44" i="11"/>
  <c r="F44" i="11" s="1"/>
  <c r="P41" i="3"/>
  <c r="N41" i="3"/>
  <c r="L41" i="3"/>
  <c r="J41" i="3"/>
  <c r="P55" i="3"/>
  <c r="N55" i="3"/>
  <c r="J55" i="3"/>
  <c r="P52" i="3"/>
  <c r="N52" i="3"/>
  <c r="L52" i="3"/>
  <c r="J52" i="3"/>
  <c r="P47" i="3"/>
  <c r="J47" i="3"/>
  <c r="P44" i="3"/>
  <c r="N44" i="3"/>
  <c r="L44" i="3"/>
  <c r="J44" i="3"/>
  <c r="P37" i="3"/>
  <c r="N37" i="3"/>
  <c r="L37" i="3"/>
  <c r="J37" i="3"/>
  <c r="P32" i="3"/>
  <c r="P34" i="3" s="1"/>
  <c r="N32" i="3"/>
  <c r="N34" i="3" s="1"/>
  <c r="L32" i="3"/>
  <c r="L34" i="3" s="1"/>
  <c r="J32" i="3"/>
  <c r="T29" i="3"/>
  <c r="D138" i="11" l="1"/>
  <c r="C138" i="11"/>
  <c r="C140" i="11" s="1"/>
  <c r="F78" i="11"/>
  <c r="F354" i="11"/>
  <c r="R52" i="3"/>
  <c r="R47" i="3"/>
  <c r="R41" i="3"/>
  <c r="R44" i="3"/>
  <c r="R14" i="3"/>
  <c r="F151" i="11"/>
  <c r="T47" i="3"/>
  <c r="T44" i="3"/>
  <c r="T37" i="3"/>
  <c r="T41" i="3"/>
  <c r="T52" i="3"/>
  <c r="R37" i="3"/>
  <c r="T14" i="3"/>
  <c r="E47" i="11"/>
  <c r="F47" i="11" s="1"/>
  <c r="E57" i="11"/>
  <c r="F26" i="11"/>
  <c r="P57" i="3"/>
  <c r="N57" i="3"/>
  <c r="J57" i="3"/>
  <c r="L57" i="3"/>
  <c r="J34" i="3"/>
  <c r="D58" i="2"/>
  <c r="D60" i="2"/>
  <c r="B98" i="2"/>
  <c r="B97" i="2" s="1"/>
  <c r="B58" i="2"/>
  <c r="E113" i="2"/>
  <c r="D113" i="2"/>
  <c r="B113" i="2"/>
  <c r="E107" i="2"/>
  <c r="D107" i="2"/>
  <c r="E103" i="2"/>
  <c r="E100" i="2" s="1"/>
  <c r="D103" i="2"/>
  <c r="D100" i="2" s="1"/>
  <c r="B103" i="2"/>
  <c r="B100" i="2" s="1"/>
  <c r="E98" i="2"/>
  <c r="E97" i="2" s="1"/>
  <c r="D97" i="2"/>
  <c r="E93" i="2"/>
  <c r="D93" i="2"/>
  <c r="E87" i="2"/>
  <c r="D87" i="2"/>
  <c r="E85" i="2"/>
  <c r="D85" i="2"/>
  <c r="E75" i="2"/>
  <c r="D75" i="2"/>
  <c r="E68" i="2"/>
  <c r="D68" i="2"/>
  <c r="E63" i="2"/>
  <c r="D63" i="2"/>
  <c r="E60" i="2"/>
  <c r="E58" i="2"/>
  <c r="E54" i="2"/>
  <c r="D54" i="2"/>
  <c r="C113" i="2"/>
  <c r="C107" i="2"/>
  <c r="C103" i="2"/>
  <c r="C100" i="2" s="1"/>
  <c r="C98" i="2"/>
  <c r="C97" i="2" s="1"/>
  <c r="C93" i="2"/>
  <c r="C87" i="2"/>
  <c r="C85" i="2"/>
  <c r="C68" i="2"/>
  <c r="C63" i="2"/>
  <c r="C60" i="2"/>
  <c r="C58" i="2"/>
  <c r="C54" i="2"/>
  <c r="E45" i="2"/>
  <c r="E44" i="2" s="1"/>
  <c r="D45" i="2"/>
  <c r="D44" i="2" s="1"/>
  <c r="B45" i="2"/>
  <c r="B44" i="2" s="1"/>
  <c r="E41" i="2"/>
  <c r="E40" i="2" s="1"/>
  <c r="D41" i="2"/>
  <c r="D40" i="2" s="1"/>
  <c r="B41" i="2"/>
  <c r="B40" i="2" s="1"/>
  <c r="E37" i="2"/>
  <c r="D37" i="2"/>
  <c r="B37" i="2"/>
  <c r="E35" i="2"/>
  <c r="D35" i="2"/>
  <c r="B35" i="2"/>
  <c r="E32" i="2"/>
  <c r="E31" i="2" s="1"/>
  <c r="D32" i="2"/>
  <c r="D31" i="2" s="1"/>
  <c r="B32" i="2"/>
  <c r="B31" i="2" s="1"/>
  <c r="E29" i="2"/>
  <c r="E28" i="2" s="1"/>
  <c r="D29" i="2"/>
  <c r="D28" i="2" s="1"/>
  <c r="B29" i="2"/>
  <c r="B28" i="2" s="1"/>
  <c r="E26" i="2"/>
  <c r="D26" i="2"/>
  <c r="B26" i="2"/>
  <c r="B24" i="2"/>
  <c r="E21" i="2"/>
  <c r="D21" i="2"/>
  <c r="B21" i="2"/>
  <c r="D19" i="2"/>
  <c r="B19" i="2"/>
  <c r="C41" i="2"/>
  <c r="C40" i="2" s="1"/>
  <c r="C45" i="2"/>
  <c r="C44" i="2" s="1"/>
  <c r="C37" i="2"/>
  <c r="C35" i="2"/>
  <c r="C32" i="2"/>
  <c r="C31" i="2" s="1"/>
  <c r="C29" i="2"/>
  <c r="C28" i="2" s="1"/>
  <c r="C26" i="2"/>
  <c r="C21" i="2"/>
  <c r="C19" i="2"/>
  <c r="E138" i="11" l="1"/>
  <c r="F44" i="2"/>
  <c r="F57" i="11"/>
  <c r="G100" i="2"/>
  <c r="F97" i="2"/>
  <c r="R57" i="3"/>
  <c r="T57" i="3"/>
  <c r="T34" i="3"/>
  <c r="R34" i="3"/>
  <c r="G97" i="2"/>
  <c r="D106" i="2"/>
  <c r="D105" i="2" s="1"/>
  <c r="C106" i="2"/>
  <c r="C105" i="2" s="1"/>
  <c r="G93" i="2"/>
  <c r="C62" i="2"/>
  <c r="C53" i="2"/>
  <c r="G40" i="2"/>
  <c r="C34" i="2"/>
  <c r="G31" i="2"/>
  <c r="G28" i="2"/>
  <c r="F100" i="2"/>
  <c r="G44" i="2"/>
  <c r="F40" i="2"/>
  <c r="B34" i="2"/>
  <c r="F31" i="2"/>
  <c r="D140" i="11"/>
  <c r="F139" i="11"/>
  <c r="F32" i="11"/>
  <c r="B15" i="2"/>
  <c r="E62" i="2"/>
  <c r="E53" i="2"/>
  <c r="E34" i="2"/>
  <c r="E15" i="2"/>
  <c r="D62" i="2"/>
  <c r="D53" i="2"/>
  <c r="B60" i="2"/>
  <c r="B107" i="2"/>
  <c r="B87" i="2"/>
  <c r="B54" i="2"/>
  <c r="B75" i="2"/>
  <c r="B68" i="2"/>
  <c r="B63" i="2"/>
  <c r="E106" i="2"/>
  <c r="D34" i="2"/>
  <c r="D15" i="2"/>
  <c r="C15" i="2"/>
  <c r="D17" i="1"/>
  <c r="C17" i="1"/>
  <c r="B17" i="1"/>
  <c r="G16" i="1"/>
  <c r="G15" i="1"/>
  <c r="G12" i="1"/>
  <c r="F16" i="1"/>
  <c r="F15" i="1"/>
  <c r="F12" i="1"/>
  <c r="E14" i="1"/>
  <c r="D14" i="1"/>
  <c r="C14" i="1"/>
  <c r="B14" i="1"/>
  <c r="D18" i="1" l="1"/>
  <c r="C14" i="2"/>
  <c r="C13" i="2" s="1"/>
  <c r="C52" i="2"/>
  <c r="C51" i="2" s="1"/>
  <c r="G62" i="2"/>
  <c r="G53" i="2"/>
  <c r="G34" i="2"/>
  <c r="E105" i="2"/>
  <c r="G105" i="2" s="1"/>
  <c r="G106" i="2"/>
  <c r="F34" i="2"/>
  <c r="E14" i="2"/>
  <c r="G15" i="2"/>
  <c r="B106" i="2"/>
  <c r="B93" i="2"/>
  <c r="F93" i="2" s="1"/>
  <c r="B14" i="2"/>
  <c r="B13" i="2" s="1"/>
  <c r="F15" i="2"/>
  <c r="G17" i="1"/>
  <c r="E140" i="11"/>
  <c r="F140" i="11" s="1"/>
  <c r="F138" i="11"/>
  <c r="E52" i="2"/>
  <c r="D52" i="2"/>
  <c r="D51" i="2" s="1"/>
  <c r="B53" i="2"/>
  <c r="B62" i="2"/>
  <c r="F62" i="2" s="1"/>
  <c r="D14" i="2"/>
  <c r="D13" i="2" s="1"/>
  <c r="C18" i="1"/>
  <c r="B18" i="1"/>
  <c r="G14" i="1"/>
  <c r="F14" i="1"/>
  <c r="F17" i="1"/>
  <c r="F53" i="2" l="1"/>
  <c r="B52" i="2"/>
  <c r="E13" i="2"/>
  <c r="E51" i="2"/>
  <c r="G52" i="2"/>
  <c r="F14" i="2"/>
  <c r="G14" i="2"/>
  <c r="B105" i="2"/>
  <c r="F105" i="2" s="1"/>
  <c r="F106" i="2"/>
  <c r="B51" i="2" l="1"/>
  <c r="F52" i="2"/>
  <c r="F16" i="13"/>
  <c r="B13" i="13"/>
  <c r="F13" i="13" s="1"/>
  <c r="F14" i="13" l="1"/>
</calcChain>
</file>

<file path=xl/sharedStrings.xml><?xml version="1.0" encoding="utf-8"?>
<sst xmlns="http://schemas.openxmlformats.org/spreadsheetml/2006/main" count="976" uniqueCount="372">
  <si>
    <t/>
  </si>
  <si>
    <t>Račun / opis</t>
  </si>
  <si>
    <t>Indeks  4/1</t>
  </si>
  <si>
    <t>Indeks  4/3</t>
  </si>
  <si>
    <t>1</t>
  </si>
  <si>
    <t>2</t>
  </si>
  <si>
    <t>3</t>
  </si>
  <si>
    <t>4</t>
  </si>
  <si>
    <t>5</t>
  </si>
  <si>
    <t>6</t>
  </si>
  <si>
    <t xml:space="preserve">6 Prihodi poslovanja                                                                                  </t>
  </si>
  <si>
    <t xml:space="preserve"> UKUPNI PRIHODI</t>
  </si>
  <si>
    <t>3 Rashodi poslovanja</t>
  </si>
  <si>
    <t xml:space="preserve">4 Rashodi za nabavu nefinancijske imovine                                                             </t>
  </si>
  <si>
    <t xml:space="preserve"> UKUPNI RASHODI</t>
  </si>
  <si>
    <t>Prihodi i rashodi prema ekonomskoj klasifikaciji</t>
  </si>
  <si>
    <t>63 Pomoći iz inozemstva i od subjekata unutar općeg proračuna</t>
  </si>
  <si>
    <t>634 Pomoći od izvanproračunskih korisnika</t>
  </si>
  <si>
    <t xml:space="preserve">6341 Tekuće pomoći od izvanproračunskih korisnika 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</si>
  <si>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</si>
  <si>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</si>
  <si>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</si>
  <si>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</si>
  <si>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</si>
  <si>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</si>
  <si>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6393 Tekući prijenosi između proračunskih korisnika istog proračuna temeljem prijenosa EU sredstava</t>
  </si>
  <si>
    <t xml:space="preserve">64 Prihodi od imovine                                                                                  </t>
  </si>
  <si>
    <t xml:space="preserve">641 Prihodi od financijske imovine                                                                      </t>
  </si>
  <si>
    <t xml:space="preserve">65 Prihodi od upravnih i administrativnih pristojbi, pristojbi po posebnim propisima i naknada         </t>
  </si>
  <si>
    <t xml:space="preserve">652 Prihodi po posebnim propisima                                                                       </t>
  </si>
  <si>
    <t xml:space="preserve">6526 Ostali nespomenuti prihodi                                                                          </t>
  </si>
  <si>
    <t xml:space="preserve">6615 Prihodi od pruženih usluga                                                                          </t>
  </si>
  <si>
    <t>663 Donacije od pravnih i fizičkih osoba izvan opće države</t>
  </si>
  <si>
    <t xml:space="preserve">6631 Tekuće donacije                                                                                     </t>
  </si>
  <si>
    <t xml:space="preserve">6632 Kapitalne donacije                                                                                  </t>
  </si>
  <si>
    <t xml:space="preserve">68 Kazne, upravne mjere i ostali prihodi                                                               </t>
  </si>
  <si>
    <t xml:space="preserve">683 Ostali prihodi                                                                                      </t>
  </si>
  <si>
    <t xml:space="preserve">6831 Ostali prihodi                                                                                      </t>
  </si>
  <si>
    <t xml:space="preserve">31 Rashodi za zaposlene                                                                                </t>
  </si>
  <si>
    <t xml:space="preserve">311 Plaće (Bruto)                                                                                       </t>
  </si>
  <si>
    <t xml:space="preserve">3111 Plaće za redovan rad                                                                                </t>
  </si>
  <si>
    <t xml:space="preserve">3113 Plaće za prekovremeni rad                                                                           </t>
  </si>
  <si>
    <t xml:space="preserve">3114 Plaće za posebne uvjete rada                                                                        </t>
  </si>
  <si>
    <t xml:space="preserve">312 Ostali rashodi za zaposlene                                                                         </t>
  </si>
  <si>
    <t xml:space="preserve">3121 Ostali rashodi za zaposlene                                                                         </t>
  </si>
  <si>
    <t xml:space="preserve">313 Doprinosi na plaće                                                                                  </t>
  </si>
  <si>
    <t xml:space="preserve">3132 Doprinosi za obvezno zdravstveno osiguranje                                                         </t>
  </si>
  <si>
    <t xml:space="preserve">32 Materijalni rashodi                                                                                 </t>
  </si>
  <si>
    <t xml:space="preserve">321 Naknade troškova zaposlenima                                                                        </t>
  </si>
  <si>
    <t xml:space="preserve">3211 Službena putovanja                                                                                  </t>
  </si>
  <si>
    <t xml:space="preserve">3212 Naknade za prijevoz, za rad na terenu i odvojeni život                                              </t>
  </si>
  <si>
    <t xml:space="preserve">3213 Stručno usavršavanje zaposlenika                                                                    </t>
  </si>
  <si>
    <t xml:space="preserve">3214 Ostale naknade troškova zaposlenima                                                                 </t>
  </si>
  <si>
    <t xml:space="preserve">322 Rashodi za materijal i energiju                                                                     </t>
  </si>
  <si>
    <t xml:space="preserve">3221 Uredski materijal i ostali materijalni rashodi                                                      </t>
  </si>
  <si>
    <t xml:space="preserve">3222 Materijal i sirovine                                                                                </t>
  </si>
  <si>
    <t xml:space="preserve">3223 Energija                                                                                            </t>
  </si>
  <si>
    <t xml:space="preserve">3224 Materijal i dijelovi za tekuće i investicijsko održavanje                                           </t>
  </si>
  <si>
    <t xml:space="preserve">3225 Sitni inventar i auto gume                                                                          </t>
  </si>
  <si>
    <t xml:space="preserve">3227 Službena, radna i zaštitna odjeća i obuća                                                           </t>
  </si>
  <si>
    <t xml:space="preserve">323 Rashodi za usluge                                                                                   </t>
  </si>
  <si>
    <t xml:space="preserve">3231 Usluge telefona, pošte i prijevoza                                                                  </t>
  </si>
  <si>
    <t xml:space="preserve">3232 Usluge tekućeg i investicijskog održavanja                                                          </t>
  </si>
  <si>
    <t xml:space="preserve">3233 Usluge promidžbe i informiranja                                                                     </t>
  </si>
  <si>
    <t xml:space="preserve">3234 Komunalne usluge                                                                                    </t>
  </si>
  <si>
    <t xml:space="preserve">3235 Zakupnine i najamnine                                                                               </t>
  </si>
  <si>
    <t xml:space="preserve">3236 Zdravstvene i veterinarske usluge                                                                   </t>
  </si>
  <si>
    <t xml:space="preserve">3237 Intelektualne i osobne usluge                                                                       </t>
  </si>
  <si>
    <t xml:space="preserve">3238 Računalne usluge                                                                                    </t>
  </si>
  <si>
    <t xml:space="preserve">3239 Ostale usluge                                                                                       </t>
  </si>
  <si>
    <t xml:space="preserve">329 Ostali nespomenuti rashodi poslovanja                                                               </t>
  </si>
  <si>
    <t xml:space="preserve">3293 Reprezentacija                                                                                      </t>
  </si>
  <si>
    <t>3294 Članarine</t>
  </si>
  <si>
    <t xml:space="preserve">3295 Pristojbe i naknade                                                                                 </t>
  </si>
  <si>
    <t xml:space="preserve">3299 Ostali nespomenuti rashodi poslovanja                                                               </t>
  </si>
  <si>
    <t xml:space="preserve">34 Financijski rashodi                                                                                 </t>
  </si>
  <si>
    <t xml:space="preserve">343 Ostali financijski rashodi                                                                          </t>
  </si>
  <si>
    <t xml:space="preserve">3431 Bankarske usluge i usluge platnog prometa                                                           </t>
  </si>
  <si>
    <t xml:space="preserve">38 Ostali rashodi                                                                                      </t>
  </si>
  <si>
    <t xml:space="preserve">383 Kazne, penali i naknade štete                                                                       </t>
  </si>
  <si>
    <t xml:space="preserve">422 Postrojenja i oprema                                                                                </t>
  </si>
  <si>
    <t xml:space="preserve">4221 Uredska oprema i namještaj                                                                          </t>
  </si>
  <si>
    <t xml:space="preserve">4222 Komunikacijska oprema                                                                               </t>
  </si>
  <si>
    <t xml:space="preserve">4223 Oprema za održavanje i zaštitu                                                                      </t>
  </si>
  <si>
    <t xml:space="preserve">4226 Sportska i glazbena oprema                                                                          </t>
  </si>
  <si>
    <t xml:space="preserve">4227 Uređaji, strojevi i oprema za ostale namjene                                                        </t>
  </si>
  <si>
    <t>424 Knjige, umjetnička djela i ostalae izložbene vrijednosti</t>
  </si>
  <si>
    <t xml:space="preserve">4241 Knjige                                                                                              </t>
  </si>
  <si>
    <t>PRIHODI I RASHODI PREMA IZVORIMA FINANCIRANJA</t>
  </si>
  <si>
    <t>Izvor 1. OPĆI PRIHODI I PRIMICI</t>
  </si>
  <si>
    <t>Izvor 3. VLASTITI PRIHODI</t>
  </si>
  <si>
    <t>Izvor 4. PRIHODI ZA POSEBNE NAMJENE</t>
  </si>
  <si>
    <t>Izvor 5. POMOĆI</t>
  </si>
  <si>
    <t>Izvor 6. DONACIJE</t>
  </si>
  <si>
    <t xml:space="preserve">Izvor 7. PRIHOD OD PRODAJE NEFINANCIJSKE IMOVINE </t>
  </si>
  <si>
    <t>Izvor 7.1. PRIHOD OD PRODAJE NEFINACIJSKE IMOVINE I NADOKNADA ŠTETE PK</t>
  </si>
  <si>
    <t>311</t>
  </si>
  <si>
    <t xml:space="preserve">Plaće (Bruto)                                                                                       </t>
  </si>
  <si>
    <t>3111</t>
  </si>
  <si>
    <t xml:space="preserve">Plaće za redovan rad                                                                                </t>
  </si>
  <si>
    <t>3113</t>
  </si>
  <si>
    <t xml:space="preserve">Plaće za prekovremeni rad                                                                           </t>
  </si>
  <si>
    <t>312</t>
  </si>
  <si>
    <t xml:space="preserve">Ostali rashodi za zaposlene                                                                         </t>
  </si>
  <si>
    <t>3121</t>
  </si>
  <si>
    <t>313</t>
  </si>
  <si>
    <t xml:space="preserve">Doprinosi na plaće                                                                                  </t>
  </si>
  <si>
    <t>3132</t>
  </si>
  <si>
    <t xml:space="preserve">Doprinosi za obvezno zdravstveno osiguranje                                                         </t>
  </si>
  <si>
    <t>321</t>
  </si>
  <si>
    <t xml:space="preserve">Naknade troškova zaposlenima                                                                        </t>
  </si>
  <si>
    <t>3211</t>
  </si>
  <si>
    <t xml:space="preserve">Službena putovanja                                                                                  </t>
  </si>
  <si>
    <t>3212</t>
  </si>
  <si>
    <t xml:space="preserve">Naknade za prijevoz, za rad na terenu i odvojeni život                                              </t>
  </si>
  <si>
    <t>3213</t>
  </si>
  <si>
    <t xml:space="preserve">Stručno usavršavanje zaposlenika                                                                    </t>
  </si>
  <si>
    <t>322</t>
  </si>
  <si>
    <t xml:space="preserve">Rashodi za materijal i energiju                                                                     </t>
  </si>
  <si>
    <t>3221</t>
  </si>
  <si>
    <t xml:space="preserve">Uredski materijal i ostali materijalni rashodi                                                      </t>
  </si>
  <si>
    <t>3223</t>
  </si>
  <si>
    <t xml:space="preserve">Energija                                                                                            </t>
  </si>
  <si>
    <t>3224</t>
  </si>
  <si>
    <t xml:space="preserve">Materijal i dijelovi za tekuće i investicijsko održavanje                                           </t>
  </si>
  <si>
    <t>3225</t>
  </si>
  <si>
    <t xml:space="preserve">Sitni inventar i auto gume                                                                          </t>
  </si>
  <si>
    <t>3227</t>
  </si>
  <si>
    <t xml:space="preserve">Službena, radna i zaštitna odjeća i obuća                                                           </t>
  </si>
  <si>
    <t>323</t>
  </si>
  <si>
    <t xml:space="preserve">Rashodi za usluge                                                                                   </t>
  </si>
  <si>
    <t>3231</t>
  </si>
  <si>
    <t xml:space="preserve">Usluge telefona, pošte i prijevoza                                                                  </t>
  </si>
  <si>
    <t>3232</t>
  </si>
  <si>
    <t xml:space="preserve">Usluge tekućeg i investicijskog održavanja                                                          </t>
  </si>
  <si>
    <t>3233</t>
  </si>
  <si>
    <t xml:space="preserve">Usluge promidžbe i informiranja                                                                     </t>
  </si>
  <si>
    <t>3234</t>
  </si>
  <si>
    <t xml:space="preserve">Komunalne usluge                                                                                    </t>
  </si>
  <si>
    <t>3235</t>
  </si>
  <si>
    <t xml:space="preserve">Zakupnine i najamnine                                                                               </t>
  </si>
  <si>
    <t>3236</t>
  </si>
  <si>
    <t xml:space="preserve">Zdravstvene i veterinarske usluge                                                                   </t>
  </si>
  <si>
    <t>3237</t>
  </si>
  <si>
    <t xml:space="preserve">Intelektualne i osobne usluge                                                                       </t>
  </si>
  <si>
    <t>3238</t>
  </si>
  <si>
    <t xml:space="preserve">Računalne usluge                                                                                    </t>
  </si>
  <si>
    <t>3239</t>
  </si>
  <si>
    <t xml:space="preserve">Ostale usluge                                                                                       </t>
  </si>
  <si>
    <t>324</t>
  </si>
  <si>
    <t xml:space="preserve">Naknade troškova osobama izvan radnog odnosa                                                        </t>
  </si>
  <si>
    <t>3241</t>
  </si>
  <si>
    <t>329</t>
  </si>
  <si>
    <t xml:space="preserve">Ostali nespomenuti rashodi poslovanja                                                               </t>
  </si>
  <si>
    <t>3292</t>
  </si>
  <si>
    <t xml:space="preserve">Premije osiguranja                                                                                  </t>
  </si>
  <si>
    <t>3293</t>
  </si>
  <si>
    <t xml:space="preserve">Reprezentacija                                                                                      </t>
  </si>
  <si>
    <t>3294</t>
  </si>
  <si>
    <t>Članarine</t>
  </si>
  <si>
    <t>3295</t>
  </si>
  <si>
    <t xml:space="preserve">Pristojbe i naknade                                                                                 </t>
  </si>
  <si>
    <t>3299</t>
  </si>
  <si>
    <t>343</t>
  </si>
  <si>
    <t xml:space="preserve">Ostali financijski rashodi                                                                          </t>
  </si>
  <si>
    <t>3431</t>
  </si>
  <si>
    <t xml:space="preserve">Bankarske usluge i usluge platnog prometa                                                           </t>
  </si>
  <si>
    <t>372</t>
  </si>
  <si>
    <t xml:space="preserve">Ostale naknade građanima i kućanstvima iz proračuna                                                 </t>
  </si>
  <si>
    <t>422</t>
  </si>
  <si>
    <t xml:space="preserve">Postrojenja i oprema                                                                                </t>
  </si>
  <si>
    <t>4221</t>
  </si>
  <si>
    <t xml:space="preserve">Uredska oprema i namještaj                                                                          </t>
  </si>
  <si>
    <t>4227</t>
  </si>
  <si>
    <t xml:space="preserve">Uređaji, strojevi i oprema za ostale namjene                                                        </t>
  </si>
  <si>
    <t xml:space="preserve">Tekuće donacije                                                                                     </t>
  </si>
  <si>
    <t xml:space="preserve">Kapitalne donacije                                                                                  </t>
  </si>
  <si>
    <t>3214</t>
  </si>
  <si>
    <t xml:space="preserve">Ostale naknade troškova zaposlenima                                                                 </t>
  </si>
  <si>
    <t>3222</t>
  </si>
  <si>
    <t xml:space="preserve">Materijal i sirovine                                                                                </t>
  </si>
  <si>
    <t>424</t>
  </si>
  <si>
    <t>Knjige, umjetnička djela i ostalae izložbene vrijednosti</t>
  </si>
  <si>
    <t>4241</t>
  </si>
  <si>
    <t xml:space="preserve">Knjige                                                                                              </t>
  </si>
  <si>
    <t>383</t>
  </si>
  <si>
    <t xml:space="preserve">Kazne, penali i naknade štete                                                                       </t>
  </si>
  <si>
    <t>3831</t>
  </si>
  <si>
    <t xml:space="preserve">Naknade šteta pravnim i fizičkim osobama                                                            </t>
  </si>
  <si>
    <t>3722</t>
  </si>
  <si>
    <t xml:space="preserve">Naknade građanima i kućanstvima u naravi                                                            </t>
  </si>
  <si>
    <t>3114</t>
  </si>
  <si>
    <t xml:space="preserve">Plaće za posebne uvjete rada                                                                        </t>
  </si>
  <si>
    <t>Prijenosi između proračunskih korisnika istog proračuna</t>
  </si>
  <si>
    <t>Tekući prijenosi između proračunskih korisnika istog proračuna temeljem prijenosa EU sredstava</t>
  </si>
  <si>
    <t>Rashodi poslovanja</t>
  </si>
  <si>
    <t>31</t>
  </si>
  <si>
    <t>32</t>
  </si>
  <si>
    <t>34</t>
  </si>
  <si>
    <t>37</t>
  </si>
  <si>
    <t>38</t>
  </si>
  <si>
    <t>42</t>
  </si>
  <si>
    <t xml:space="preserve">Rashodi za zaposlene                                                                                </t>
  </si>
  <si>
    <t xml:space="preserve">Materijalni rashodi                                                                                 </t>
  </si>
  <si>
    <t xml:space="preserve">Financijski rashodi                                                                                 </t>
  </si>
  <si>
    <t xml:space="preserve">Naknade građanima i kućanstvima na temelju osiguranja i druge naknade                               </t>
  </si>
  <si>
    <t xml:space="preserve">Ostali rashodi                                                                                      </t>
  </si>
  <si>
    <t xml:space="preserve">Rashodi za nabavu nefinancijske imovine                                                             </t>
  </si>
  <si>
    <t xml:space="preserve">Rashodi za nabavu proizvedene dugotrajne imovine                                                    </t>
  </si>
  <si>
    <t>OSNOVNA ŠKOLA "DOBRIŠA CESARIĆ"</t>
  </si>
  <si>
    <t>SLAVONSKA 8</t>
  </si>
  <si>
    <t>POŽEGA</t>
  </si>
  <si>
    <t>OIB 58790090389</t>
  </si>
  <si>
    <t xml:space="preserve">O P Ć I    D I O </t>
  </si>
  <si>
    <t xml:space="preserve">4 Rashodi za nabavu nefinancijske imovine   </t>
  </si>
  <si>
    <t xml:space="preserve">7 Prihodi od prodaje nefinancijske imovine  </t>
  </si>
  <si>
    <t xml:space="preserve">8 Primici od financijske imovine i zaduživanja </t>
  </si>
  <si>
    <t xml:space="preserve">5 Izdaci za financijsku imovinu i otplate zajmova </t>
  </si>
  <si>
    <t xml:space="preserve">3722 Naknade građanima i kućanstvima u naravi                                            </t>
  </si>
  <si>
    <t>3831 Naknade šteta pravnim i fizičkim osobama</t>
  </si>
  <si>
    <t xml:space="preserve">632 Pomoći od međunarodnih organizacija te institucija i tijela EU           </t>
  </si>
  <si>
    <t xml:space="preserve">6321 Tekuće pomoći od međunarodnih organizacija           </t>
  </si>
  <si>
    <t xml:space="preserve">6413 Kamate na oročena sredstva i depozite po viđenju         </t>
  </si>
  <si>
    <t xml:space="preserve">66 Prihodi od prodaje proizvoda i robe te pruženih usluga i prihodi od donacija  </t>
  </si>
  <si>
    <t xml:space="preserve">661 Prihodi od prodaje proizvoda i robe te pruženih usluga                           </t>
  </si>
  <si>
    <t xml:space="preserve">324 Naknade troškova osobama izvan radnog odnosa           </t>
  </si>
  <si>
    <t xml:space="preserve">3241 Naknade troškova osobama izvan radnog odnosa                             </t>
  </si>
  <si>
    <t xml:space="preserve">3292 Premije osiguranja        </t>
  </si>
  <si>
    <t xml:space="preserve">37 Naknade građanima i kućanstvima na temelju osiguranja i druge naknade </t>
  </si>
  <si>
    <t xml:space="preserve">372 Ostale naknade građanima i kućanstvima iz proračuna  </t>
  </si>
  <si>
    <t xml:space="preserve">42 Rashodi za nabavu proizvedene dugotrajne imovine </t>
  </si>
  <si>
    <t>67 Prihodi od nadležno proračuna i od HZZO-a temeljem ugovornih obveza</t>
  </si>
  <si>
    <t>671 Prihodi iz nadležnog proračuna za financ. redovne djelatn.proračun.korisnika</t>
  </si>
  <si>
    <t>6711 Prihodi iz nadležnog proračuna za financiranje rashoda poslovanja</t>
  </si>
  <si>
    <t>6712 Prihodi iz nadležnog proračuna za financiranje rashoda za nabavu nefinanc.imovine</t>
  </si>
  <si>
    <t>Prihodi i rashodi prema izvorima financiranja</t>
  </si>
  <si>
    <t>UKUPNO PRIHODI</t>
  </si>
  <si>
    <t>UKUPNO RASHODI</t>
  </si>
  <si>
    <t>PRIHODI</t>
  </si>
  <si>
    <t>RASHODI</t>
  </si>
  <si>
    <t>Po programskoj, ekonomskoj i izvorima financiranja</t>
  </si>
  <si>
    <t xml:space="preserve">P O S E B N I   D I O </t>
  </si>
  <si>
    <t>PRIHODI I PRIMICI</t>
  </si>
  <si>
    <t>Račun prihoda / primitaka</t>
  </si>
  <si>
    <t>Naziv računa</t>
  </si>
  <si>
    <t>Indeks</t>
  </si>
  <si>
    <t>5=4/3*100</t>
  </si>
  <si>
    <t>Pomoći iz inozemstva i od subjekata unutar općeg proračuna</t>
  </si>
  <si>
    <t>Pomoći od izvanproračunskih korisnika</t>
  </si>
  <si>
    <t xml:space="preserve">Tekuće pomoći od izvanproračunskih korisnika 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</si>
  <si>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</si>
  <si>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</si>
  <si>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</si>
  <si>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 xml:space="preserve">Prihodi od imovine                                                                                  </t>
  </si>
  <si>
    <t xml:space="preserve">Prihodi od financijske imovine                                                                      </t>
  </si>
  <si>
    <t xml:space="preserve">Kamate na oročena sredstva i depozite po viđenju         </t>
  </si>
  <si>
    <t xml:space="preserve">Prihodi od upravnih i administrativnih pristojbi, pristojbi po posebnim propisima i naknada         </t>
  </si>
  <si>
    <t xml:space="preserve">Prihodi po posebnim propisima                                                                       </t>
  </si>
  <si>
    <t xml:space="preserve">Ostali nespomenuti prihodi                                                                          </t>
  </si>
  <si>
    <t xml:space="preserve">Prihodi od prodaje proizvoda i robe te pruženih usluga i prihodi od donacija  </t>
  </si>
  <si>
    <t xml:space="preserve">Prihodi od prodaje proizvoda i robe te pruženih usluga                           </t>
  </si>
  <si>
    <t xml:space="preserve">Prihodi od pruženih usluga                                                                          </t>
  </si>
  <si>
    <t>Donacije od pravnih i fizičkih osoba izvan opće države</t>
  </si>
  <si>
    <t>Prihodi od nadležno proračuna i od HZZO-a temeljem ugovornih obveza</t>
  </si>
  <si>
    <t>Prihodi iz nadležnog proračuna za financ. redovne djelatn.proračun.korisnika</t>
  </si>
  <si>
    <t>Prihodi iz nadležnog proračuna za financiranje rashoda poslovanja</t>
  </si>
  <si>
    <t>Prihodi iz nadležnog proračuna za financiranje rashoda za nabavu nefinanc.imovine</t>
  </si>
  <si>
    <t xml:space="preserve">Kazne, upravne mjere i ostali prihodi                                                               </t>
  </si>
  <si>
    <t xml:space="preserve">Ostali prihodi                                                                                      </t>
  </si>
  <si>
    <t>UKUPNO Izvor financiranja Opći prihodi i primici</t>
  </si>
  <si>
    <t>UKUPNO Izvor financiranja Vlastiti prihodi</t>
  </si>
  <si>
    <t>UKUPNO Izvor financiranja Prihodi za posebne namjene</t>
  </si>
  <si>
    <t>UKUPNO Izvor financiranja Pomoći</t>
  </si>
  <si>
    <t>UKUPNO Izvor financiranja Donacije</t>
  </si>
  <si>
    <t>Višak prihoda poslovanja</t>
  </si>
  <si>
    <t>Rezultat poslovanja</t>
  </si>
  <si>
    <t>Višak/manjak prihoda</t>
  </si>
  <si>
    <t>UKUPNO Izvor financiranja Prihodi za posebne namjene - preneseni višak</t>
  </si>
  <si>
    <t>KORIŠTENJE PRENESENOG VIŠKA</t>
  </si>
  <si>
    <t>UKUPNO Izvor financiranja Pomoći - preneseni višak</t>
  </si>
  <si>
    <t>Sveukupno prihodi</t>
  </si>
  <si>
    <t>Sveukupno preneseni višak</t>
  </si>
  <si>
    <t>Sveukupno prihodi + preneseni višak korišten za pokriće rashoda</t>
  </si>
  <si>
    <t>RASHODI I IZDACI</t>
  </si>
  <si>
    <t>Račun rashoda / izdataka</t>
  </si>
  <si>
    <t xml:space="preserve">7 Prihodi od prodaje nefinancijske imovine                                                            </t>
  </si>
  <si>
    <t>72 Prihodi od prodaje proizvedene dugotrajne imovine</t>
  </si>
  <si>
    <t>722 Prihodi od prodaje postrojenja i opreme</t>
  </si>
  <si>
    <t>7227 Uređaji, strojevi i oprema za ostale namjene</t>
  </si>
  <si>
    <t>Prihodi od prodaje proizvedene dugotrajne imovine</t>
  </si>
  <si>
    <t>Prihodi od prodaje postrojenja i opreme</t>
  </si>
  <si>
    <t>Uređaji, strojevi i oprema za ostale namjene</t>
  </si>
  <si>
    <t xml:space="preserve">Naknade građanima i kućanstvima na temelju osiguranja i druge naknade </t>
  </si>
  <si>
    <t xml:space="preserve">Ostale naknade građanima i kućanstvima iz proračuna  </t>
  </si>
  <si>
    <t xml:space="preserve">Naknade građanima i kućanstvima u naravi                                            </t>
  </si>
  <si>
    <t>Višak prihoda od nefinancijske imovine</t>
  </si>
  <si>
    <t>Rashodi prema funkcijskoj klasifikaciji</t>
  </si>
  <si>
    <t>Funkcijska klasifikacija SVEUKUPNI RASHODI</t>
  </si>
  <si>
    <t>Funkcijska klasifikacija 09 Obrazovanje</t>
  </si>
  <si>
    <t>Funkcijska klasifikacija 0912 Osnovno obrazovanje</t>
  </si>
  <si>
    <t xml:space="preserve">6322 Kapitalne pomoći od međunarodnih organizacija           </t>
  </si>
  <si>
    <t>381 Tekuće donacije</t>
  </si>
  <si>
    <t>3812 Tekuće donacije u naravi</t>
  </si>
  <si>
    <t>Tekuće donacije</t>
  </si>
  <si>
    <t>Tekuće donacije u naravi</t>
  </si>
  <si>
    <t xml:space="preserve">Doprinosi za obvezno zdravstveno osiguranje                                                  </t>
  </si>
  <si>
    <t>Sveukupno rashodi</t>
  </si>
  <si>
    <t>Indeks 4/1</t>
  </si>
  <si>
    <t>Račun financiranja prema ekonomskoj klasifikaciji</t>
  </si>
  <si>
    <t>B. RAČUN ZADUŽIVANJA FINANCIRANJA</t>
  </si>
  <si>
    <t xml:space="preserve"> NETO FINANCIRANJE</t>
  </si>
  <si>
    <t>Račun financiranja prema izvorima</t>
  </si>
  <si>
    <t>KORIŠTENJE SREDSTAVA IZ PRETHODNIH GODINA</t>
  </si>
  <si>
    <t>Sitni inventar i auto gume</t>
  </si>
  <si>
    <t>Usluge tekućeg i investicijskog održavanja</t>
  </si>
  <si>
    <t>Izvršenje 30.06.2025.</t>
  </si>
  <si>
    <t>A. SAŽETAK RAČUNA PRIHODA I RASHODA</t>
  </si>
  <si>
    <t>RAZLIKA - VIŠAK / MANJAK</t>
  </si>
  <si>
    <t>B. SAŽETAK RAČUNA FINANCIRANJA</t>
  </si>
  <si>
    <t>RAZLIKA PRIMITAKA I IZDATAKA</t>
  </si>
  <si>
    <t>Funkcijska klasifikacija 096 Dodatne usluge u obrazovanju</t>
  </si>
  <si>
    <t>PRENESENI VIŠAK/MANJAK IZ PRETHODNE GODINE</t>
  </si>
  <si>
    <t>Izvještaj o izvršenju financijskog plana  za 2026.g.</t>
  </si>
  <si>
    <t>Za razdoblje od 01.01.2026. do 30.06.2026.</t>
  </si>
  <si>
    <t>Izvorni plan 2026.</t>
  </si>
  <si>
    <t>Tekući plan 2026.</t>
  </si>
  <si>
    <t>Izvršenje 30.06.2026.</t>
  </si>
  <si>
    <t xml:space="preserve">3433 Zatezne kamate                                                         </t>
  </si>
  <si>
    <t>Izvor financiranja 1.1.1 Opći prihodi i primici</t>
  </si>
  <si>
    <t>Izvor financiranja 3.1.2 Vlastiti prihodi</t>
  </si>
  <si>
    <t>Izvor financiranja 4.3.3 Ostali prihodi za posebne namjene</t>
  </si>
  <si>
    <t>Izvor financiranja 6.1.3 Donacije</t>
  </si>
  <si>
    <t>Izvor financiranja 5.0.113 Pomoći iz DP kroz opće prihode i primitke</t>
  </si>
  <si>
    <t>Izvor financiranja 5.2.3 Ostale pomoći</t>
  </si>
  <si>
    <t>Izvor financiranja 5.6.1003 ESF plus raspoloživ predujam ili unaprijed naplaćen prihod</t>
  </si>
  <si>
    <t xml:space="preserve">Izvor financiranja 1.1.2  DEC ŠKOLSTVO </t>
  </si>
  <si>
    <t>Izvor financiranja 5.0.111 Pomoći iz DP kroz opće prihode i primitke GRAD</t>
  </si>
  <si>
    <t xml:space="preserve">Izvor 1.1.1 OPĆI PRIHODI I PRIMICI </t>
  </si>
  <si>
    <t>Izvor 1.1.2  DEC OŠ</t>
  </si>
  <si>
    <t>Izvor 5.0.111 POMOĆI IZ DP KROZ OPĆE PRIHODE I PRIMITKE GRAD</t>
  </si>
  <si>
    <t xml:space="preserve">Izvor 3.1. VLASTITI PRIHODI </t>
  </si>
  <si>
    <t>Izvor 3.1. VLASTITI PRIHODI - REZULTAT PRETH.GODINE</t>
  </si>
  <si>
    <t xml:space="preserve">Izvor 4.3. OSTALI PRIHODI ZA POSEBNE NAMJENE - REZULTAT PRETH.GODINE </t>
  </si>
  <si>
    <t xml:space="preserve">Izvor 4.3.3 OSTALI PRIHODI ZA POSEBNE NAMJENE  </t>
  </si>
  <si>
    <t>Izvor 5.0.113 POMOĆI IZ DP KROZ OPĆE PRIHODE I PRIMITKE ŠKOLE</t>
  </si>
  <si>
    <t>Izvor 5.2.3 OSTALE POMOĆI ŠKOLE</t>
  </si>
  <si>
    <t>Izvor 5.6.1003 EUROPSKI SOCIJALNI FOND PLUS</t>
  </si>
  <si>
    <t>Izvor 5.0.113 POMOĆI IZ DP KROZ OPĆE PRIHODE I PRIMITKE ŠKOLE - REZULTAT PRETH.GODINE</t>
  </si>
  <si>
    <t>Izvor 6.1.3 DONACIJE PK - ŠKOLE</t>
  </si>
  <si>
    <t>Izvor 6.1.3 DONACIJE PK - ŠKOLE - REZULTAT PRETHODNE GODINE</t>
  </si>
  <si>
    <t xml:space="preserve">Izvor 4.3.3 OSTALI PRIHODI ZA POSEBNE NAMJENE - REZULTAT PRETH.GODINE </t>
  </si>
  <si>
    <t xml:space="preserve">Izvor 6.1.3 DONACIJE PK - ŠKOLE - REZULTAT PRETHODNE GODINE </t>
  </si>
  <si>
    <t>PROGRAM 3001 DECENTRALIZIRANA SREDSTVA</t>
  </si>
  <si>
    <t>Aktivnost A300103 Osnovna aktivnost OŠ "Dobriša Cesarić"</t>
  </si>
  <si>
    <t xml:space="preserve">PROGRAM 3000 REDOVNA DJELANOST </t>
  </si>
  <si>
    <t>Aktivnost A300012 Osnovna aktivnost OŠ "Dobriša Cesarić"</t>
  </si>
  <si>
    <t xml:space="preserve">Izvor financiranja 1.1.1 Opći prihodi i primici </t>
  </si>
  <si>
    <t>Aktivnost A300021 Osnovna aktivnost OŠ "Dobriša Cesarić"- MZOM</t>
  </si>
  <si>
    <t>Tekući projekt T311401  "Petica za dvoje VIII. Faza"</t>
  </si>
  <si>
    <t>Zatezne kamate</t>
  </si>
  <si>
    <t xml:space="preserve">Izvor financiranja 5.0.113 Pomoći iz DP kroz opće prihode i primitke </t>
  </si>
  <si>
    <t>VIŠAK/MANJAK IZ PRETHODNE GODINE KOJI ĆE SE RASPOREDITI/POKRITI</t>
  </si>
  <si>
    <t>Izvor financiranja 5.0.113 Pomoći iz DP - preneseni višak</t>
  </si>
  <si>
    <t>Izvor financiranja 4.3.3 Ostali prihodi za posebne namjene - preneseni višak</t>
  </si>
  <si>
    <t>Izvor financiranja 6.1.3 Donacije - preneseni višak</t>
  </si>
  <si>
    <t>Izvor financiranja 4.3.3 Ostali prihodi za posebne namjene - rezultat prethodne godine</t>
  </si>
  <si>
    <t>Izvor financiranja 6.1.3 Donacije - rezultat prethodne godine</t>
  </si>
  <si>
    <t>Izvor financiranja 5.6.1003 Europski socijalni fond plus</t>
  </si>
  <si>
    <t>Izvor financiranja 5.0.113 Pomoći iz DP kroz opće prihode i primitke - rezultat prethodne godine</t>
  </si>
  <si>
    <t>PRIJENOS VIŠKA/MANJKA U SLJEDEĆE RAZDOBLJE</t>
  </si>
  <si>
    <t xml:space="preserve">Izvor 3.1.2 VLASTITI PRIHODI </t>
  </si>
  <si>
    <t>Izvor 3.1.2 VLASTITI PRIHODI - REZULTAT PRETH.GODINE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</si>
</sst>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##\%"/>
    <numFmt numFmtId="165" formatCode="#,##0.000000"/>
  </numFmts>
  <fonts count="22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indexed="9"/>
      <name val="Arial"/>
      <family val="2"/>
      <charset val="238"/>
    </font>
    <font>
      <b/>
      <i/>
      <sz val="10"/>
      <color rgb="FF0000FF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double">
        <color indexed="64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548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0" xfId="0" applyFont="1"/>
    <xf numFmtId="4" fontId="1" fillId="0" borderId="0" xfId="0" applyNumberFormat="1" applyFont="1" applyBorder="1" applyAlignment="1" applyProtection="1">
      <alignment horizontal="right"/>
    </xf>
    <xf numFmtId="164" fontId="1" fillId="0" borderId="0" xfId="0" applyNumberFormat="1" applyFont="1" applyBorder="1" applyAlignment="1" applyProtection="1">
      <alignment horizontal="right"/>
    </xf>
    <xf numFmtId="0" fontId="1" fillId="0" borderId="0" xfId="0" applyFont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 applyFill="1"/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Border="1" applyAlignment="1" applyProtection="1">
      <alignment horizontal="center"/>
    </xf>
    <xf numFmtId="4" fontId="1" fillId="0" borderId="5" xfId="0" applyNumberFormat="1" applyFont="1" applyFill="1" applyBorder="1" applyAlignment="1" applyProtection="1">
      <alignment horizontal="right"/>
    </xf>
    <xf numFmtId="0" fontId="11" fillId="0" borderId="10" xfId="0" applyFont="1" applyFill="1" applyBorder="1" applyAlignment="1">
      <alignment horizontal="left"/>
    </xf>
    <xf numFmtId="0" fontId="11" fillId="0" borderId="11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4" fontId="1" fillId="0" borderId="14" xfId="0" applyNumberFormat="1" applyFont="1" applyFill="1" applyBorder="1" applyAlignment="1" applyProtection="1">
      <alignment horizontal="right"/>
    </xf>
    <xf numFmtId="0" fontId="11" fillId="0" borderId="13" xfId="0" applyFont="1" applyFill="1" applyBorder="1"/>
    <xf numFmtId="0" fontId="11" fillId="0" borderId="4" xfId="0" applyFont="1" applyFill="1" applyBorder="1"/>
    <xf numFmtId="0" fontId="11" fillId="0" borderId="22" xfId="0" applyFont="1" applyFill="1" applyBorder="1"/>
    <xf numFmtId="1" fontId="1" fillId="0" borderId="5" xfId="0" applyNumberFormat="1" applyFont="1" applyFill="1" applyBorder="1" applyAlignment="1" applyProtection="1">
      <alignment horizontal="right"/>
    </xf>
    <xf numFmtId="1" fontId="1" fillId="0" borderId="6" xfId="0" applyNumberFormat="1" applyFont="1" applyFill="1" applyBorder="1" applyAlignment="1" applyProtection="1">
      <alignment horizontal="right"/>
    </xf>
    <xf numFmtId="1" fontId="1" fillId="0" borderId="14" xfId="0" applyNumberFormat="1" applyFont="1" applyFill="1" applyBorder="1" applyAlignment="1" applyProtection="1">
      <alignment horizontal="right"/>
    </xf>
    <xf numFmtId="1" fontId="1" fillId="0" borderId="15" xfId="0" applyNumberFormat="1" applyFont="1" applyFill="1" applyBorder="1" applyAlignment="1" applyProtection="1">
      <alignment horizontal="right"/>
    </xf>
    <xf numFmtId="1" fontId="1" fillId="0" borderId="29" xfId="0" applyNumberFormat="1" applyFont="1" applyFill="1" applyBorder="1" applyAlignment="1" applyProtection="1">
      <alignment horizontal="right"/>
    </xf>
    <xf numFmtId="1" fontId="1" fillId="0" borderId="30" xfId="0" applyNumberFormat="1" applyFont="1" applyFill="1" applyBorder="1" applyAlignment="1" applyProtection="1">
      <alignment horizontal="right"/>
    </xf>
    <xf numFmtId="1" fontId="11" fillId="0" borderId="20" xfId="0" applyNumberFormat="1" applyFont="1" applyFill="1" applyBorder="1" applyAlignment="1">
      <alignment horizontal="left"/>
    </xf>
    <xf numFmtId="1" fontId="11" fillId="0" borderId="21" xfId="0" applyNumberFormat="1" applyFont="1" applyFill="1" applyBorder="1" applyAlignment="1">
      <alignment horizontal="left"/>
    </xf>
    <xf numFmtId="1" fontId="11" fillId="0" borderId="5" xfId="0" applyNumberFormat="1" applyFont="1" applyFill="1" applyBorder="1" applyAlignment="1" applyProtection="1">
      <alignment horizontal="right"/>
    </xf>
    <xf numFmtId="1" fontId="11" fillId="0" borderId="6" xfId="0" applyNumberFormat="1" applyFont="1" applyFill="1" applyBorder="1" applyAlignment="1" applyProtection="1">
      <alignment horizontal="right"/>
    </xf>
    <xf numFmtId="1" fontId="11" fillId="0" borderId="14" xfId="0" applyNumberFormat="1" applyFont="1" applyFill="1" applyBorder="1" applyAlignment="1" applyProtection="1">
      <alignment horizontal="right"/>
    </xf>
    <xf numFmtId="1" fontId="11" fillId="0" borderId="15" xfId="0" applyNumberFormat="1" applyFont="1" applyFill="1" applyBorder="1" applyAlignment="1" applyProtection="1">
      <alignment horizontal="right"/>
    </xf>
    <xf numFmtId="1" fontId="11" fillId="0" borderId="26" xfId="0" applyNumberFormat="1" applyFont="1" applyFill="1" applyBorder="1" applyAlignment="1" applyProtection="1">
      <alignment horizontal="right"/>
    </xf>
    <xf numFmtId="1" fontId="11" fillId="0" borderId="27" xfId="0" applyNumberFormat="1" applyFont="1" applyFill="1" applyBorder="1" applyAlignment="1" applyProtection="1">
      <alignment horizontal="right"/>
    </xf>
    <xf numFmtId="1" fontId="11" fillId="0" borderId="17" xfId="0" applyNumberFormat="1" applyFont="1" applyFill="1" applyBorder="1" applyAlignment="1" applyProtection="1">
      <alignment horizontal="right"/>
    </xf>
    <xf numFmtId="1" fontId="11" fillId="0" borderId="18" xfId="0" applyNumberFormat="1" applyFont="1" applyFill="1" applyBorder="1" applyAlignment="1" applyProtection="1">
      <alignment horizontal="right"/>
    </xf>
    <xf numFmtId="0" fontId="10" fillId="0" borderId="0" xfId="0" applyFont="1"/>
    <xf numFmtId="0" fontId="4" fillId="0" borderId="1" xfId="0" applyFont="1" applyBorder="1"/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0" fillId="0" borderId="31" xfId="0" applyBorder="1"/>
    <xf numFmtId="0" fontId="5" fillId="0" borderId="7" xfId="0" applyFont="1" applyFill="1" applyBorder="1" applyAlignment="1">
      <alignment horizontal="center"/>
    </xf>
    <xf numFmtId="0" fontId="4" fillId="0" borderId="4" xfId="0" applyFont="1" applyBorder="1"/>
    <xf numFmtId="0" fontId="11" fillId="0" borderId="1" xfId="0" applyFont="1" applyBorder="1"/>
    <xf numFmtId="0" fontId="0" fillId="0" borderId="13" xfId="0" applyBorder="1"/>
    <xf numFmtId="0" fontId="4" fillId="0" borderId="25" xfId="0" applyFont="1" applyBorder="1"/>
    <xf numFmtId="0" fontId="4" fillId="0" borderId="19" xfId="0" applyFont="1" applyBorder="1"/>
    <xf numFmtId="0" fontId="10" fillId="0" borderId="13" xfId="0" applyFont="1" applyBorder="1" applyAlignment="1">
      <alignment horizontal="left"/>
    </xf>
    <xf numFmtId="4" fontId="10" fillId="0" borderId="14" xfId="0" applyNumberFormat="1" applyFont="1" applyBorder="1" applyAlignment="1" applyProtection="1">
      <alignment horizontal="right"/>
    </xf>
    <xf numFmtId="0" fontId="11" fillId="0" borderId="4" xfId="0" applyFont="1" applyBorder="1"/>
    <xf numFmtId="0" fontId="4" fillId="0" borderId="34" xfId="0" applyFont="1" applyBorder="1"/>
    <xf numFmtId="0" fontId="0" fillId="0" borderId="13" xfId="0" applyBorder="1" applyAlignment="1">
      <alignment wrapText="1"/>
    </xf>
    <xf numFmtId="0" fontId="10" fillId="0" borderId="13" xfId="0" applyFont="1" applyBorder="1"/>
    <xf numFmtId="0" fontId="4" fillId="0" borderId="25" xfId="0" applyFont="1" applyBorder="1" applyAlignment="1">
      <alignment wrapText="1"/>
    </xf>
    <xf numFmtId="0" fontId="11" fillId="0" borderId="25" xfId="0" applyFont="1" applyBorder="1"/>
    <xf numFmtId="0" fontId="4" fillId="0" borderId="37" xfId="0" applyFont="1" applyBorder="1"/>
    <xf numFmtId="0" fontId="11" fillId="0" borderId="34" xfId="0" applyFont="1" applyBorder="1"/>
    <xf numFmtId="0" fontId="10" fillId="0" borderId="4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1" fontId="4" fillId="0" borderId="20" xfId="0" applyNumberFormat="1" applyFont="1" applyBorder="1" applyAlignment="1" applyProtection="1">
      <alignment horizontal="right"/>
    </xf>
    <xf numFmtId="1" fontId="4" fillId="0" borderId="21" xfId="0" applyNumberFormat="1" applyFont="1" applyBorder="1" applyAlignment="1" applyProtection="1">
      <alignment horizontal="right"/>
    </xf>
    <xf numFmtId="1" fontId="4" fillId="0" borderId="35" xfId="0" applyNumberFormat="1" applyFont="1" applyBorder="1" applyAlignment="1" applyProtection="1">
      <alignment horizontal="right"/>
    </xf>
    <xf numFmtId="1" fontId="4" fillId="0" borderId="36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/>
    </xf>
    <xf numFmtId="1" fontId="4" fillId="0" borderId="6" xfId="0" applyNumberFormat="1" applyFont="1" applyBorder="1" applyAlignment="1" applyProtection="1">
      <alignment horizontal="right"/>
    </xf>
    <xf numFmtId="1" fontId="0" fillId="0" borderId="2" xfId="0" applyNumberFormat="1" applyFont="1" applyBorder="1" applyAlignment="1" applyProtection="1">
      <alignment horizontal="right"/>
    </xf>
    <xf numFmtId="1" fontId="0" fillId="0" borderId="3" xfId="0" applyNumberFormat="1" applyFont="1" applyBorder="1" applyAlignment="1" applyProtection="1">
      <alignment horizontal="right"/>
    </xf>
    <xf numFmtId="1" fontId="4" fillId="0" borderId="2" xfId="0" applyNumberFormat="1" applyFont="1" applyBorder="1" applyAlignment="1" applyProtection="1">
      <alignment horizontal="right"/>
    </xf>
    <xf numFmtId="1" fontId="4" fillId="0" borderId="3" xfId="0" applyNumberFormat="1" applyFont="1" applyBorder="1" applyAlignment="1" applyProtection="1">
      <alignment horizontal="right"/>
    </xf>
    <xf numFmtId="1" fontId="0" fillId="0" borderId="14" xfId="0" applyNumberFormat="1" applyFont="1" applyBorder="1" applyAlignment="1" applyProtection="1">
      <alignment horizontal="right"/>
    </xf>
    <xf numFmtId="1" fontId="0" fillId="0" borderId="15" xfId="0" applyNumberFormat="1" applyFont="1" applyBorder="1" applyAlignment="1" applyProtection="1">
      <alignment horizontal="right"/>
    </xf>
    <xf numFmtId="1" fontId="4" fillId="0" borderId="26" xfId="0" applyNumberFormat="1" applyFont="1" applyBorder="1" applyAlignment="1" applyProtection="1">
      <alignment horizontal="right"/>
    </xf>
    <xf numFmtId="1" fontId="4" fillId="0" borderId="27" xfId="0" applyNumberFormat="1" applyFont="1" applyBorder="1" applyAlignment="1" applyProtection="1">
      <alignment horizontal="right"/>
    </xf>
    <xf numFmtId="1" fontId="11" fillId="0" borderId="26" xfId="0" applyNumberFormat="1" applyFont="1" applyBorder="1" applyAlignment="1" applyProtection="1">
      <alignment horizontal="right"/>
    </xf>
    <xf numFmtId="1" fontId="11" fillId="0" borderId="27" xfId="0" applyNumberFormat="1" applyFont="1" applyBorder="1" applyAlignment="1" applyProtection="1">
      <alignment horizontal="right"/>
    </xf>
    <xf numFmtId="1" fontId="11" fillId="0" borderId="5" xfId="0" applyNumberFormat="1" applyFont="1" applyBorder="1" applyAlignment="1" applyProtection="1">
      <alignment horizontal="right"/>
    </xf>
    <xf numFmtId="1" fontId="11" fillId="0" borderId="6" xfId="0" applyNumberFormat="1" applyFont="1" applyBorder="1" applyAlignment="1" applyProtection="1">
      <alignment horizontal="right"/>
    </xf>
    <xf numFmtId="1" fontId="0" fillId="0" borderId="41" xfId="0" applyNumberFormat="1" applyFont="1" applyBorder="1" applyAlignment="1" applyProtection="1">
      <alignment horizontal="right"/>
    </xf>
    <xf numFmtId="1" fontId="0" fillId="0" borderId="42" xfId="0" applyNumberFormat="1" applyFont="1" applyBorder="1" applyAlignment="1" applyProtection="1">
      <alignment horizontal="right"/>
    </xf>
    <xf numFmtId="1" fontId="4" fillId="0" borderId="38" xfId="0" applyNumberFormat="1" applyFont="1" applyBorder="1" applyAlignment="1" applyProtection="1">
      <alignment horizontal="right"/>
    </xf>
    <xf numFmtId="1" fontId="4" fillId="0" borderId="39" xfId="0" applyNumberFormat="1" applyFont="1" applyBorder="1" applyAlignment="1" applyProtection="1">
      <alignment horizontal="right"/>
    </xf>
    <xf numFmtId="1" fontId="10" fillId="0" borderId="14" xfId="0" applyNumberFormat="1" applyFont="1" applyBorder="1" applyAlignment="1" applyProtection="1">
      <alignment horizontal="right"/>
    </xf>
    <xf numFmtId="1" fontId="10" fillId="0" borderId="15" xfId="0" applyNumberFormat="1" applyFont="1" applyBorder="1" applyAlignment="1" applyProtection="1">
      <alignment horizontal="right"/>
    </xf>
    <xf numFmtId="1" fontId="0" fillId="0" borderId="32" xfId="0" applyNumberFormat="1" applyFont="1" applyBorder="1" applyAlignment="1" applyProtection="1">
      <alignment horizontal="right"/>
    </xf>
    <xf numFmtId="1" fontId="0" fillId="0" borderId="33" xfId="0" applyNumberFormat="1" applyFont="1" applyBorder="1" applyAlignment="1" applyProtection="1">
      <alignment horizontal="right"/>
    </xf>
    <xf numFmtId="0" fontId="14" fillId="0" borderId="0" xfId="0" applyFont="1" applyFill="1"/>
    <xf numFmtId="0" fontId="14" fillId="0" borderId="0" xfId="0" applyFont="1"/>
    <xf numFmtId="0" fontId="12" fillId="0" borderId="0" xfId="0" applyFont="1" applyBorder="1" applyAlignment="1" applyProtection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0" fillId="0" borderId="0" xfId="0" applyFont="1" applyFill="1"/>
    <xf numFmtId="0" fontId="1" fillId="0" borderId="0" xfId="0" applyFont="1" applyFill="1"/>
    <xf numFmtId="0" fontId="13" fillId="0" borderId="0" xfId="0" applyFont="1" applyFill="1"/>
    <xf numFmtId="0" fontId="12" fillId="0" borderId="0" xfId="0" applyFont="1" applyBorder="1" applyAlignment="1" applyProtection="1">
      <alignment horizontal="center"/>
    </xf>
    <xf numFmtId="0" fontId="0" fillId="0" borderId="0" xfId="0"/>
    <xf numFmtId="0" fontId="15" fillId="0" borderId="0" xfId="0" applyFont="1" applyFill="1"/>
    <xf numFmtId="0" fontId="12" fillId="0" borderId="0" xfId="0" applyFont="1" applyFill="1"/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horizontal="left"/>
    </xf>
    <xf numFmtId="0" fontId="10" fillId="0" borderId="2" xfId="0" applyFont="1" applyBorder="1"/>
    <xf numFmtId="0" fontId="0" fillId="0" borderId="2" xfId="0" applyBorder="1" applyAlignment="1">
      <alignment wrapText="1"/>
    </xf>
    <xf numFmtId="0" fontId="10" fillId="0" borderId="2" xfId="0" applyFont="1" applyBorder="1" applyAlignment="1">
      <alignment horizontal="left"/>
    </xf>
    <xf numFmtId="0" fontId="1" fillId="0" borderId="2" xfId="0" applyFont="1" applyBorder="1"/>
    <xf numFmtId="0" fontId="0" fillId="0" borderId="32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5" xfId="0" applyFont="1" applyBorder="1"/>
    <xf numFmtId="0" fontId="10" fillId="0" borderId="2" xfId="0" applyFont="1" applyBorder="1" applyAlignment="1">
      <alignment wrapText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left"/>
    </xf>
    <xf numFmtId="0" fontId="1" fillId="0" borderId="56" xfId="0" applyFont="1" applyBorder="1"/>
    <xf numFmtId="0" fontId="4" fillId="0" borderId="55" xfId="0" applyFont="1" applyBorder="1" applyAlignment="1">
      <alignment horizontal="center"/>
    </xf>
    <xf numFmtId="0" fontId="10" fillId="0" borderId="14" xfId="0" applyFont="1" applyBorder="1"/>
    <xf numFmtId="0" fontId="4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26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6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63" xfId="0" applyFont="1" applyFill="1" applyBorder="1" applyAlignment="1" applyProtection="1">
      <alignment horizontal="left"/>
    </xf>
    <xf numFmtId="4" fontId="1" fillId="0" borderId="63" xfId="0" applyNumberFormat="1" applyFont="1" applyFill="1" applyBorder="1" applyAlignment="1" applyProtection="1">
      <alignment horizontal="right"/>
    </xf>
    <xf numFmtId="1" fontId="1" fillId="0" borderId="63" xfId="0" applyNumberFormat="1" applyFont="1" applyFill="1" applyBorder="1" applyAlignment="1" applyProtection="1">
      <alignment horizontal="right"/>
    </xf>
    <xf numFmtId="0" fontId="17" fillId="0" borderId="64" xfId="0" applyFont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0" borderId="0" xfId="0" applyFont="1"/>
    <xf numFmtId="0" fontId="17" fillId="0" borderId="53" xfId="0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66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0" fillId="0" borderId="0" xfId="0" applyAlignment="1">
      <alignment horizontal="left"/>
    </xf>
    <xf numFmtId="0" fontId="17" fillId="0" borderId="62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4" fontId="10" fillId="0" borderId="2" xfId="0" applyNumberFormat="1" applyFont="1" applyBorder="1" applyAlignment="1"/>
    <xf numFmtId="4" fontId="1" fillId="0" borderId="2" xfId="0" applyNumberFormat="1" applyFont="1" applyBorder="1" applyAlignment="1"/>
    <xf numFmtId="0" fontId="4" fillId="0" borderId="68" xfId="0" applyFont="1" applyBorder="1"/>
    <xf numFmtId="1" fontId="4" fillId="0" borderId="69" xfId="0" applyNumberFormat="1" applyFont="1" applyBorder="1" applyAlignment="1" applyProtection="1">
      <alignment horizontal="right"/>
    </xf>
    <xf numFmtId="1" fontId="4" fillId="0" borderId="70" xfId="0" applyNumberFormat="1" applyFont="1" applyBorder="1" applyAlignment="1" applyProtection="1">
      <alignment horizontal="right"/>
    </xf>
    <xf numFmtId="0" fontId="1" fillId="0" borderId="10" xfId="0" applyFont="1" applyFill="1" applyBorder="1" applyAlignment="1">
      <alignment horizontal="center"/>
    </xf>
    <xf numFmtId="0" fontId="12" fillId="0" borderId="25" xfId="0" applyFont="1" applyFill="1" applyBorder="1"/>
    <xf numFmtId="4" fontId="12" fillId="0" borderId="26" xfId="0" applyNumberFormat="1" applyFont="1" applyFill="1" applyBorder="1" applyAlignment="1" applyProtection="1">
      <alignment horizontal="right"/>
    </xf>
    <xf numFmtId="1" fontId="12" fillId="0" borderId="26" xfId="0" applyNumberFormat="1" applyFont="1" applyFill="1" applyBorder="1" applyAlignment="1" applyProtection="1">
      <alignment horizontal="right"/>
    </xf>
    <xf numFmtId="1" fontId="12" fillId="0" borderId="27" xfId="0" applyNumberFormat="1" applyFont="1" applyFill="1" applyBorder="1" applyAlignment="1" applyProtection="1">
      <alignment horizontal="right"/>
    </xf>
    <xf numFmtId="0" fontId="12" fillId="0" borderId="28" xfId="0" applyFont="1" applyBorder="1" applyAlignment="1">
      <alignment horizontal="center"/>
    </xf>
    <xf numFmtId="4" fontId="12" fillId="0" borderId="29" xfId="0" applyNumberFormat="1" applyFont="1" applyBorder="1" applyAlignment="1" applyProtection="1">
      <alignment horizontal="right"/>
    </xf>
    <xf numFmtId="1" fontId="12" fillId="0" borderId="29" xfId="0" applyNumberFormat="1" applyFont="1" applyBorder="1" applyAlignment="1" applyProtection="1">
      <alignment horizontal="center"/>
    </xf>
    <xf numFmtId="1" fontId="12" fillId="0" borderId="30" xfId="0" applyNumberFormat="1" applyFont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12" fillId="0" borderId="19" xfId="0" applyFont="1" applyBorder="1"/>
    <xf numFmtId="4" fontId="12" fillId="0" borderId="20" xfId="0" applyNumberFormat="1" applyFont="1" applyBorder="1" applyAlignment="1" applyProtection="1">
      <alignment horizontal="right"/>
    </xf>
    <xf numFmtId="1" fontId="12" fillId="0" borderId="20" xfId="0" applyNumberFormat="1" applyFont="1" applyBorder="1" applyAlignment="1" applyProtection="1">
      <alignment horizontal="right"/>
    </xf>
    <xf numFmtId="1" fontId="12" fillId="0" borderId="21" xfId="0" applyNumberFormat="1" applyFont="1" applyBorder="1" applyAlignment="1" applyProtection="1">
      <alignment horizontal="right"/>
    </xf>
    <xf numFmtId="0" fontId="15" fillId="0" borderId="0" xfId="0" applyFont="1"/>
    <xf numFmtId="0" fontId="18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3" fontId="0" fillId="0" borderId="0" xfId="0" applyNumberFormat="1"/>
    <xf numFmtId="3" fontId="12" fillId="0" borderId="0" xfId="0" applyNumberFormat="1" applyFont="1" applyBorder="1" applyAlignment="1" applyProtection="1"/>
    <xf numFmtId="3" fontId="12" fillId="0" borderId="0" xfId="0" applyNumberFormat="1" applyFont="1" applyBorder="1" applyAlignment="1" applyProtection="1">
      <alignment horizontal="center"/>
    </xf>
    <xf numFmtId="3" fontId="1" fillId="0" borderId="9" xfId="0" applyNumberFormat="1" applyFont="1" applyBorder="1" applyAlignment="1">
      <alignment horizontal="center"/>
    </xf>
    <xf numFmtId="3" fontId="11" fillId="0" borderId="57" xfId="0" applyNumberFormat="1" applyFont="1" applyBorder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3" fontId="0" fillId="0" borderId="3" xfId="0" applyNumberFormat="1" applyFont="1" applyBorder="1" applyAlignment="1" applyProtection="1">
      <alignment horizontal="right"/>
    </xf>
    <xf numFmtId="3" fontId="0" fillId="0" borderId="15" xfId="0" applyNumberFormat="1" applyFont="1" applyBorder="1" applyAlignment="1" applyProtection="1">
      <alignment horizontal="right"/>
    </xf>
    <xf numFmtId="3" fontId="12" fillId="0" borderId="61" xfId="0" applyNumberFormat="1" applyFont="1" applyBorder="1" applyAlignment="1" applyProtection="1">
      <alignment horizontal="right"/>
    </xf>
    <xf numFmtId="3" fontId="0" fillId="0" borderId="0" xfId="0" applyNumberFormat="1" applyFont="1" applyBorder="1" applyAlignment="1" applyProtection="1">
      <alignment horizontal="right"/>
    </xf>
    <xf numFmtId="3" fontId="4" fillId="0" borderId="57" xfId="0" applyNumberFormat="1" applyFont="1" applyBorder="1" applyAlignment="1" applyProtection="1">
      <alignment horizontal="right"/>
    </xf>
    <xf numFmtId="3" fontId="4" fillId="0" borderId="6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right"/>
    </xf>
    <xf numFmtId="3" fontId="4" fillId="0" borderId="27" xfId="0" applyNumberFormat="1" applyFont="1" applyBorder="1" applyAlignment="1" applyProtection="1">
      <alignment horizontal="right"/>
    </xf>
    <xf numFmtId="3" fontId="4" fillId="0" borderId="3" xfId="0" applyNumberFormat="1" applyFont="1" applyBorder="1" applyAlignment="1" applyProtection="1">
      <alignment horizontal="right"/>
    </xf>
    <xf numFmtId="3" fontId="12" fillId="0" borderId="62" xfId="0" applyNumberFormat="1" applyFont="1" applyBorder="1" applyAlignment="1" applyProtection="1">
      <alignment horizontal="right"/>
    </xf>
    <xf numFmtId="3" fontId="17" fillId="0" borderId="45" xfId="0" applyNumberFormat="1" applyFont="1" applyBorder="1" applyAlignment="1" applyProtection="1">
      <alignment horizontal="right"/>
    </xf>
    <xf numFmtId="3" fontId="17" fillId="0" borderId="3" xfId="0" applyNumberFormat="1" applyFont="1" applyBorder="1" applyAlignment="1" applyProtection="1">
      <alignment horizontal="right"/>
    </xf>
    <xf numFmtId="3" fontId="17" fillId="0" borderId="33" xfId="0" applyNumberFormat="1" applyFont="1" applyBorder="1" applyAlignment="1" applyProtection="1">
      <alignment horizontal="right"/>
    </xf>
    <xf numFmtId="3" fontId="17" fillId="0" borderId="62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33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8" xfId="0" applyFont="1" applyFill="1" applyBorder="1" applyAlignment="1">
      <alignment horizontal="center"/>
    </xf>
    <xf numFmtId="0" fontId="1" fillId="0" borderId="34" xfId="0" applyFont="1" applyBorder="1"/>
    <xf numFmtId="0" fontId="1" fillId="0" borderId="4" xfId="0" applyFont="1" applyBorder="1"/>
    <xf numFmtId="0" fontId="10" fillId="0" borderId="24" xfId="0" applyFont="1" applyBorder="1"/>
    <xf numFmtId="1" fontId="0" fillId="0" borderId="46" xfId="0" applyNumberFormat="1" applyFont="1" applyBorder="1" applyAlignment="1" applyProtection="1">
      <alignment horizontal="right"/>
    </xf>
    <xf numFmtId="1" fontId="0" fillId="0" borderId="47" xfId="0" applyNumberFormat="1" applyFont="1" applyBorder="1" applyAlignment="1" applyProtection="1">
      <alignment horizontal="right"/>
    </xf>
    <xf numFmtId="0" fontId="12" fillId="0" borderId="71" xfId="0" applyFont="1" applyBorder="1"/>
    <xf numFmtId="4" fontId="12" fillId="0" borderId="72" xfId="0" applyNumberFormat="1" applyFont="1" applyBorder="1" applyAlignment="1" applyProtection="1">
      <alignment horizontal="right"/>
    </xf>
    <xf numFmtId="1" fontId="12" fillId="0" borderId="72" xfId="0" applyNumberFormat="1" applyFont="1" applyBorder="1" applyAlignment="1" applyProtection="1">
      <alignment horizontal="right"/>
    </xf>
    <xf numFmtId="1" fontId="12" fillId="0" borderId="73" xfId="0" applyNumberFormat="1" applyFont="1" applyBorder="1" applyAlignment="1" applyProtection="1">
      <alignment horizontal="right"/>
    </xf>
    <xf numFmtId="0" fontId="0" fillId="0" borderId="24" xfId="0" applyBorder="1"/>
    <xf numFmtId="0" fontId="1" fillId="0" borderId="71" xfId="0" applyFont="1" applyFill="1" applyBorder="1" applyAlignment="1">
      <alignment horizontal="center"/>
    </xf>
    <xf numFmtId="0" fontId="11" fillId="0" borderId="72" xfId="0" applyFont="1" applyFill="1" applyBorder="1" applyAlignment="1" applyProtection="1">
      <alignment horizontal="center"/>
    </xf>
    <xf numFmtId="0" fontId="11" fillId="0" borderId="73" xfId="0" applyFont="1" applyFill="1" applyBorder="1" applyAlignment="1" applyProtection="1">
      <alignment horizontal="center"/>
    </xf>
    <xf numFmtId="4" fontId="10" fillId="0" borderId="29" xfId="0" applyNumberFormat="1" applyFont="1" applyFill="1" applyBorder="1" applyAlignment="1" applyProtection="1">
      <alignment horizontal="right"/>
    </xf>
    <xf numFmtId="1" fontId="10" fillId="0" borderId="29" xfId="0" applyNumberFormat="1" applyFont="1" applyFill="1" applyBorder="1" applyAlignment="1" applyProtection="1">
      <alignment horizontal="right"/>
    </xf>
    <xf numFmtId="0" fontId="1" fillId="0" borderId="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" fillId="0" borderId="75" xfId="0" applyFont="1" applyBorder="1" applyAlignment="1">
      <alignment horizontal="center"/>
    </xf>
    <xf numFmtId="0" fontId="1" fillId="0" borderId="75" xfId="0" applyFont="1" applyBorder="1"/>
    <xf numFmtId="0" fontId="0" fillId="0" borderId="40" xfId="0" applyBorder="1" applyAlignment="1">
      <alignment horizontal="center"/>
    </xf>
    <xf numFmtId="0" fontId="10" fillId="0" borderId="41" xfId="0" applyFont="1" applyBorder="1"/>
    <xf numFmtId="3" fontId="0" fillId="0" borderId="42" xfId="0" applyNumberFormat="1" applyFont="1" applyBorder="1" applyAlignment="1" applyProtection="1">
      <alignment horizontal="right"/>
    </xf>
    <xf numFmtId="0" fontId="10" fillId="0" borderId="31" xfId="0" applyFont="1" applyBorder="1" applyAlignment="1">
      <alignment horizontal="center"/>
    </xf>
    <xf numFmtId="0" fontId="10" fillId="0" borderId="32" xfId="0" applyFont="1" applyBorder="1"/>
    <xf numFmtId="1" fontId="4" fillId="0" borderId="74" xfId="0" applyNumberFormat="1" applyFont="1" applyBorder="1" applyAlignment="1" applyProtection="1">
      <alignment horizontal="right"/>
    </xf>
    <xf numFmtId="1" fontId="0" fillId="0" borderId="74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" fontId="4" fillId="0" borderId="77" xfId="0" applyNumberFormat="1" applyFont="1" applyBorder="1" applyAlignment="1" applyProtection="1">
      <alignment horizontal="right"/>
    </xf>
    <xf numFmtId="0" fontId="12" fillId="0" borderId="34" xfId="0" applyFont="1" applyFill="1" applyBorder="1"/>
    <xf numFmtId="4" fontId="12" fillId="0" borderId="35" xfId="0" applyNumberFormat="1" applyFont="1" applyFill="1" applyBorder="1" applyAlignment="1" applyProtection="1">
      <alignment horizontal="right"/>
    </xf>
    <xf numFmtId="1" fontId="12" fillId="0" borderId="35" xfId="0" applyNumberFormat="1" applyFont="1" applyFill="1" applyBorder="1" applyAlignment="1" applyProtection="1">
      <alignment horizontal="right"/>
    </xf>
    <xf numFmtId="1" fontId="12" fillId="0" borderId="36" xfId="0" applyNumberFormat="1" applyFont="1" applyFill="1" applyBorder="1" applyAlignment="1" applyProtection="1">
      <alignment horizontal="right"/>
    </xf>
    <xf numFmtId="0" fontId="10" fillId="0" borderId="28" xfId="0" applyFont="1" applyFill="1" applyBorder="1"/>
    <xf numFmtId="1" fontId="10" fillId="0" borderId="30" xfId="0" applyNumberFormat="1" applyFont="1" applyFill="1" applyBorder="1" applyAlignment="1" applyProtection="1">
      <alignment horizontal="right"/>
    </xf>
    <xf numFmtId="4" fontId="10" fillId="0" borderId="79" xfId="0" applyNumberFormat="1" applyFont="1" applyFill="1" applyBorder="1" applyAlignment="1" applyProtection="1">
      <alignment horizontal="right"/>
    </xf>
    <xf numFmtId="4" fontId="15" fillId="0" borderId="0" xfId="0" applyNumberFormat="1" applyFont="1" applyFill="1"/>
    <xf numFmtId="4" fontId="0" fillId="0" borderId="0" xfId="0" applyNumberFormat="1" applyFill="1"/>
    <xf numFmtId="4" fontId="0" fillId="0" borderId="0" xfId="0" applyNumberFormat="1"/>
    <xf numFmtId="4" fontId="3" fillId="0" borderId="0" xfId="0" applyNumberFormat="1" applyFont="1"/>
    <xf numFmtId="4" fontId="10" fillId="0" borderId="0" xfId="0" applyNumberFormat="1" applyFont="1" applyFill="1"/>
    <xf numFmtId="4" fontId="14" fillId="0" borderId="0" xfId="0" applyNumberFormat="1" applyFont="1" applyFill="1"/>
    <xf numFmtId="0" fontId="13" fillId="0" borderId="20" xfId="0" applyFont="1" applyFill="1" applyBorder="1" applyAlignment="1">
      <alignment horizontal="left"/>
    </xf>
    <xf numFmtId="4" fontId="6" fillId="0" borderId="0" xfId="0" applyNumberFormat="1" applyFont="1"/>
    <xf numFmtId="4" fontId="15" fillId="0" borderId="0" xfId="0" applyNumberFormat="1" applyFont="1"/>
    <xf numFmtId="4" fontId="12" fillId="0" borderId="0" xfId="0" applyNumberFormat="1" applyFont="1" applyAlignment="1">
      <alignment horizontal="center"/>
    </xf>
    <xf numFmtId="4" fontId="10" fillId="0" borderId="0" xfId="0" applyNumberFormat="1" applyFont="1"/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4" fontId="8" fillId="0" borderId="0" xfId="0" applyNumberFormat="1" applyFont="1"/>
    <xf numFmtId="4" fontId="1" fillId="0" borderId="0" xfId="0" applyNumberFormat="1" applyFont="1" applyFill="1"/>
    <xf numFmtId="4" fontId="12" fillId="0" borderId="0" xfId="0" applyNumberFormat="1" applyFont="1" applyFill="1"/>
    <xf numFmtId="4" fontId="13" fillId="0" borderId="0" xfId="0" applyNumberFormat="1" applyFont="1" applyFill="1"/>
    <xf numFmtId="4" fontId="18" fillId="0" borderId="0" xfId="0" applyNumberFormat="1" applyFont="1"/>
    <xf numFmtId="4" fontId="14" fillId="0" borderId="0" xfId="0" applyNumberFormat="1" applyFont="1"/>
    <xf numFmtId="0" fontId="0" fillId="0" borderId="0" xfId="0" applyFill="1" applyBorder="1"/>
    <xf numFmtId="4" fontId="0" fillId="0" borderId="0" xfId="0" applyNumberFormat="1" applyFill="1" applyBorder="1"/>
    <xf numFmtId="0" fontId="10" fillId="0" borderId="0" xfId="0" applyFont="1" applyFill="1" applyBorder="1"/>
    <xf numFmtId="4" fontId="10" fillId="0" borderId="0" xfId="0" applyNumberFormat="1" applyFont="1" applyFill="1" applyBorder="1"/>
    <xf numFmtId="4" fontId="11" fillId="0" borderId="0" xfId="0" applyNumberFormat="1" applyFont="1" applyFill="1" applyBorder="1" applyAlignment="1" applyProtection="1">
      <alignment horizontal="right"/>
    </xf>
    <xf numFmtId="4" fontId="14" fillId="0" borderId="0" xfId="0" applyNumberFormat="1" applyFont="1" applyFill="1" applyBorder="1"/>
    <xf numFmtId="4" fontId="15" fillId="0" borderId="0" xfId="0" applyNumberFormat="1" applyFont="1" applyFill="1" applyBorder="1"/>
    <xf numFmtId="4" fontId="19" fillId="0" borderId="0" xfId="0" applyNumberFormat="1" applyFont="1" applyFill="1" applyBorder="1"/>
    <xf numFmtId="165" fontId="10" fillId="0" borderId="0" xfId="0" applyNumberFormat="1" applyFont="1" applyFill="1" applyBorder="1"/>
    <xf numFmtId="4" fontId="0" fillId="0" borderId="0" xfId="0" applyNumberFormat="1" applyBorder="1"/>
    <xf numFmtId="0" fontId="12" fillId="0" borderId="0" xfId="0" applyFont="1" applyBorder="1" applyAlignment="1" applyProtection="1">
      <alignment horizontal="center"/>
    </xf>
    <xf numFmtId="0" fontId="1" fillId="0" borderId="20" xfId="0" applyFont="1" applyFill="1" applyBorder="1" applyAlignment="1">
      <alignment horizontal="left"/>
    </xf>
    <xf numFmtId="0" fontId="17" fillId="0" borderId="51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3" fontId="17" fillId="0" borderId="9" xfId="0" applyNumberFormat="1" applyFont="1" applyBorder="1" applyAlignment="1" applyProtection="1">
      <alignment horizontal="right"/>
    </xf>
    <xf numFmtId="0" fontId="1" fillId="0" borderId="8" xfId="0" applyFont="1" applyFill="1" applyBorder="1" applyAlignment="1">
      <alignment horizontal="center" wrapText="1"/>
    </xf>
    <xf numFmtId="0" fontId="12" fillId="0" borderId="0" xfId="0" applyFont="1" applyBorder="1" applyAlignment="1" applyProtection="1">
      <alignment horizontal="center"/>
    </xf>
    <xf numFmtId="0" fontId="12" fillId="0" borderId="0" xfId="0" applyFont="1"/>
    <xf numFmtId="0" fontId="12" fillId="0" borderId="0" xfId="0" applyFont="1" applyBorder="1" applyAlignment="1">
      <alignment horizontal="center"/>
    </xf>
    <xf numFmtId="0" fontId="10" fillId="0" borderId="0" xfId="1"/>
    <xf numFmtId="0" fontId="3" fillId="0" borderId="0" xfId="1" applyFont="1"/>
    <xf numFmtId="0" fontId="3" fillId="0" borderId="0" xfId="1" applyFont="1" applyAlignment="1"/>
    <xf numFmtId="0" fontId="1" fillId="0" borderId="0" xfId="1" applyFont="1" applyBorder="1" applyAlignment="1" applyProtection="1">
      <alignment vertical="center"/>
    </xf>
    <xf numFmtId="0" fontId="10" fillId="0" borderId="0" xfId="1" applyFont="1" applyBorder="1" applyAlignment="1" applyProtection="1">
      <alignment horizontal="center"/>
    </xf>
    <xf numFmtId="0" fontId="1" fillId="0" borderId="7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10" fillId="0" borderId="0" xfId="1" applyFill="1"/>
    <xf numFmtId="0" fontId="1" fillId="0" borderId="10" xfId="1" applyFont="1" applyFill="1" applyBorder="1" applyAlignment="1">
      <alignment horizontal="left"/>
    </xf>
    <xf numFmtId="0" fontId="1" fillId="0" borderId="11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10" fillId="0" borderId="0" xfId="1" applyFont="1" applyFill="1"/>
    <xf numFmtId="0" fontId="1" fillId="2" borderId="34" xfId="1" applyFont="1" applyFill="1" applyBorder="1" applyAlignment="1">
      <alignment horizontal="center"/>
    </xf>
    <xf numFmtId="0" fontId="10" fillId="2" borderId="35" xfId="1" applyFill="1" applyBorder="1" applyAlignment="1"/>
    <xf numFmtId="0" fontId="10" fillId="2" borderId="36" xfId="1" applyFill="1" applyBorder="1" applyAlignment="1"/>
    <xf numFmtId="0" fontId="10" fillId="0" borderId="0" xfId="1" applyAlignment="1"/>
    <xf numFmtId="0" fontId="15" fillId="0" borderId="0" xfId="1" applyFont="1" applyFill="1"/>
    <xf numFmtId="0" fontId="1" fillId="0" borderId="78" xfId="1" applyFont="1" applyFill="1" applyBorder="1" applyAlignment="1" applyProtection="1"/>
    <xf numFmtId="0" fontId="10" fillId="0" borderId="79" xfId="1" applyFill="1" applyBorder="1" applyAlignment="1"/>
    <xf numFmtId="0" fontId="10" fillId="0" borderId="80" xfId="1" applyFill="1" applyBorder="1" applyAlignment="1"/>
    <xf numFmtId="0" fontId="18" fillId="0" borderId="0" xfId="0" applyFont="1" applyBorder="1" applyAlignment="1" applyProtection="1"/>
    <xf numFmtId="0" fontId="18" fillId="0" borderId="0" xfId="0" applyFont="1" applyBorder="1" applyAlignment="1" applyProtection="1">
      <alignment horizontal="center"/>
    </xf>
    <xf numFmtId="4" fontId="14" fillId="0" borderId="0" xfId="0" applyNumberFormat="1" applyFont="1" applyBorder="1" applyAlignment="1" applyProtection="1">
      <alignment horizontal="right"/>
    </xf>
    <xf numFmtId="4" fontId="18" fillId="0" borderId="0" xfId="0" applyNumberFormat="1" applyFont="1" applyBorder="1" applyAlignment="1" applyProtection="1">
      <alignment horizontal="right"/>
    </xf>
    <xf numFmtId="4" fontId="18" fillId="0" borderId="62" xfId="0" applyNumberFormat="1" applyFont="1" applyBorder="1" applyAlignment="1" applyProtection="1">
      <alignment horizontal="right"/>
    </xf>
    <xf numFmtId="0" fontId="18" fillId="0" borderId="0" xfId="0" applyFont="1" applyBorder="1" applyAlignment="1">
      <alignment horizontal="center"/>
    </xf>
    <xf numFmtId="4" fontId="14" fillId="0" borderId="0" xfId="0" applyNumberFormat="1" applyFont="1" applyBorder="1" applyAlignment="1"/>
    <xf numFmtId="0" fontId="1" fillId="0" borderId="11" xfId="0" applyFont="1" applyFill="1" applyBorder="1" applyAlignment="1" applyProtection="1">
      <alignment horizontal="center"/>
    </xf>
    <xf numFmtId="4" fontId="1" fillId="0" borderId="72" xfId="0" applyNumberFormat="1" applyFont="1" applyFill="1" applyBorder="1" applyAlignment="1" applyProtection="1">
      <alignment horizontal="right"/>
    </xf>
    <xf numFmtId="4" fontId="1" fillId="0" borderId="35" xfId="0" applyNumberFormat="1" applyFont="1" applyBorder="1" applyAlignment="1" applyProtection="1">
      <alignment horizontal="right"/>
    </xf>
    <xf numFmtId="4" fontId="1" fillId="0" borderId="5" xfId="0" applyNumberFormat="1" applyFont="1" applyBorder="1" applyAlignment="1" applyProtection="1">
      <alignment horizontal="right"/>
    </xf>
    <xf numFmtId="4" fontId="10" fillId="0" borderId="2" xfId="0" applyNumberFormat="1" applyFont="1" applyBorder="1" applyAlignment="1" applyProtection="1">
      <alignment horizontal="right"/>
    </xf>
    <xf numFmtId="4" fontId="1" fillId="0" borderId="2" xfId="0" applyNumberFormat="1" applyFont="1" applyBorder="1" applyAlignment="1" applyProtection="1">
      <alignment horizontal="right"/>
    </xf>
    <xf numFmtId="4" fontId="1" fillId="0" borderId="26" xfId="0" applyNumberFormat="1" applyFont="1" applyBorder="1" applyAlignment="1" applyProtection="1">
      <alignment horizontal="right"/>
    </xf>
    <xf numFmtId="4" fontId="10" fillId="0" borderId="41" xfId="0" applyNumberFormat="1" applyFont="1" applyBorder="1" applyAlignment="1" applyProtection="1">
      <alignment horizontal="right"/>
    </xf>
    <xf numFmtId="4" fontId="1" fillId="0" borderId="69" xfId="0" applyNumberFormat="1" applyFont="1" applyBorder="1" applyAlignment="1" applyProtection="1">
      <alignment horizontal="right"/>
    </xf>
    <xf numFmtId="4" fontId="10" fillId="0" borderId="46" xfId="0" applyNumberFormat="1" applyFont="1" applyBorder="1" applyAlignment="1" applyProtection="1">
      <alignment horizontal="right"/>
    </xf>
    <xf numFmtId="4" fontId="1" fillId="0" borderId="38" xfId="0" applyNumberFormat="1" applyFont="1" applyBorder="1" applyAlignment="1" applyProtection="1">
      <alignment horizontal="right"/>
    </xf>
    <xf numFmtId="4" fontId="1" fillId="0" borderId="20" xfId="0" applyNumberFormat="1" applyFont="1" applyBorder="1" applyAlignment="1" applyProtection="1">
      <alignment horizontal="right"/>
    </xf>
    <xf numFmtId="4" fontId="10" fillId="0" borderId="32" xfId="0" applyNumberFormat="1" applyFont="1" applyBorder="1" applyAlignment="1" applyProtection="1">
      <alignment horizontal="right"/>
    </xf>
    <xf numFmtId="0" fontId="12" fillId="0" borderId="0" xfId="0" applyFont="1" applyBorder="1" applyAlignment="1" applyProtection="1">
      <alignment horizontal="center"/>
    </xf>
    <xf numFmtId="4" fontId="1" fillId="0" borderId="26" xfId="0" applyNumberFormat="1" applyFont="1" applyFill="1" applyBorder="1" applyAlignment="1" applyProtection="1">
      <alignment horizontal="right"/>
    </xf>
    <xf numFmtId="0" fontId="12" fillId="0" borderId="0" xfId="0" applyFont="1" applyBorder="1" applyAlignment="1">
      <alignment horizontal="center"/>
    </xf>
    <xf numFmtId="4" fontId="10" fillId="0" borderId="0" xfId="0" applyNumberFormat="1" applyFont="1" applyBorder="1" applyAlignment="1"/>
    <xf numFmtId="4" fontId="1" fillId="0" borderId="5" xfId="0" applyNumberFormat="1" applyFont="1" applyBorder="1" applyAlignment="1"/>
    <xf numFmtId="3" fontId="1" fillId="0" borderId="6" xfId="0" applyNumberFormat="1" applyFont="1" applyBorder="1" applyAlignment="1">
      <alignment horizontal="right"/>
    </xf>
    <xf numFmtId="0" fontId="12" fillId="0" borderId="0" xfId="0" applyFont="1" applyBorder="1" applyAlignment="1" applyProtection="1">
      <alignment horizontal="center"/>
    </xf>
    <xf numFmtId="4" fontId="10" fillId="0" borderId="29" xfId="0" applyNumberFormat="1" applyFont="1" applyFill="1" applyBorder="1" applyAlignment="1" applyProtection="1">
      <alignment horizontal="right"/>
    </xf>
    <xf numFmtId="4" fontId="13" fillId="0" borderId="17" xfId="0" applyNumberFormat="1" applyFont="1" applyFill="1" applyBorder="1" applyAlignment="1" applyProtection="1">
      <alignment horizontal="right"/>
    </xf>
    <xf numFmtId="4" fontId="1" fillId="0" borderId="23" xfId="0" applyNumberFormat="1" applyFont="1" applyFill="1" applyBorder="1" applyAlignment="1" applyProtection="1">
      <alignment horizontal="right"/>
    </xf>
    <xf numFmtId="0" fontId="1" fillId="0" borderId="10" xfId="0" applyFont="1" applyFill="1" applyBorder="1" applyAlignment="1">
      <alignment horizontal="left"/>
    </xf>
    <xf numFmtId="0" fontId="1" fillId="0" borderId="28" xfId="0" applyFont="1" applyFill="1" applyBorder="1"/>
    <xf numFmtId="0" fontId="1" fillId="0" borderId="19" xfId="0" applyFont="1" applyFill="1" applyBorder="1" applyAlignment="1">
      <alignment horizontal="left"/>
    </xf>
    <xf numFmtId="0" fontId="1" fillId="0" borderId="25" xfId="0" applyFont="1" applyFill="1" applyBorder="1"/>
    <xf numFmtId="0" fontId="10" fillId="0" borderId="16" xfId="0" applyFont="1" applyFill="1" applyBorder="1"/>
    <xf numFmtId="4" fontId="10" fillId="0" borderId="17" xfId="0" applyNumberFormat="1" applyFont="1" applyFill="1" applyBorder="1" applyAlignment="1" applyProtection="1">
      <alignment horizontal="right"/>
    </xf>
    <xf numFmtId="1" fontId="10" fillId="0" borderId="17" xfId="0" applyNumberFormat="1" applyFont="1" applyFill="1" applyBorder="1" applyAlignment="1" applyProtection="1">
      <alignment horizontal="right"/>
    </xf>
    <xf numFmtId="1" fontId="10" fillId="0" borderId="18" xfId="0" applyNumberFormat="1" applyFont="1" applyFill="1" applyBorder="1" applyAlignment="1" applyProtection="1">
      <alignment horizontal="right"/>
    </xf>
    <xf numFmtId="0" fontId="10" fillId="0" borderId="25" xfId="0" applyFont="1" applyFill="1" applyBorder="1"/>
    <xf numFmtId="4" fontId="10" fillId="0" borderId="26" xfId="0" applyNumberFormat="1" applyFont="1" applyFill="1" applyBorder="1" applyAlignment="1" applyProtection="1">
      <alignment horizontal="right"/>
    </xf>
    <xf numFmtId="1" fontId="10" fillId="0" borderId="26" xfId="0" applyNumberFormat="1" applyFont="1" applyFill="1" applyBorder="1" applyAlignment="1" applyProtection="1">
      <alignment horizontal="right"/>
    </xf>
    <xf numFmtId="1" fontId="10" fillId="0" borderId="27" xfId="0" applyNumberFormat="1" applyFont="1" applyFill="1" applyBorder="1" applyAlignment="1" applyProtection="1">
      <alignment horizontal="right"/>
    </xf>
    <xf numFmtId="0" fontId="1" fillId="0" borderId="55" xfId="0" applyFont="1" applyBorder="1" applyAlignment="1">
      <alignment horizontal="center"/>
    </xf>
    <xf numFmtId="3" fontId="1" fillId="0" borderId="57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/>
    </xf>
    <xf numFmtId="3" fontId="1" fillId="0" borderId="27" xfId="0" applyNumberFormat="1" applyFont="1" applyBorder="1" applyAlignment="1">
      <alignment horizontal="right"/>
    </xf>
    <xf numFmtId="0" fontId="0" fillId="0" borderId="14" xfId="0" applyBorder="1" applyAlignment="1">
      <alignment wrapText="1"/>
    </xf>
    <xf numFmtId="3" fontId="0" fillId="0" borderId="15" xfId="0" applyNumberFormat="1" applyBorder="1" applyAlignment="1">
      <alignment horizontal="right"/>
    </xf>
    <xf numFmtId="0" fontId="11" fillId="0" borderId="25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3" fontId="1" fillId="0" borderId="84" xfId="0" applyNumberFormat="1" applyFont="1" applyBorder="1" applyAlignment="1">
      <alignment horizontal="center"/>
    </xf>
    <xf numFmtId="4" fontId="1" fillId="0" borderId="56" xfId="0" applyNumberFormat="1" applyFont="1" applyBorder="1" applyAlignment="1"/>
    <xf numFmtId="4" fontId="1" fillId="0" borderId="26" xfId="0" applyNumberFormat="1" applyFont="1" applyBorder="1" applyAlignment="1"/>
    <xf numFmtId="4" fontId="10" fillId="0" borderId="14" xfId="0" applyNumberFormat="1" applyFont="1" applyBorder="1" applyAlignment="1"/>
    <xf numFmtId="0" fontId="1" fillId="0" borderId="2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4" fontId="1" fillId="0" borderId="56" xfId="0" applyNumberFormat="1" applyFont="1" applyBorder="1" applyAlignment="1" applyProtection="1">
      <alignment horizontal="right"/>
    </xf>
    <xf numFmtId="4" fontId="12" fillId="0" borderId="60" xfId="0" applyNumberFormat="1" applyFont="1" applyBorder="1" applyAlignment="1" applyProtection="1">
      <alignment horizontal="right"/>
    </xf>
    <xf numFmtId="4" fontId="12" fillId="0" borderId="0" xfId="0" applyNumberFormat="1" applyFont="1" applyBorder="1" applyAlignment="1" applyProtection="1">
      <alignment horizontal="right"/>
    </xf>
    <xf numFmtId="4" fontId="1" fillId="0" borderId="76" xfId="0" applyNumberFormat="1" applyFont="1" applyBorder="1" applyAlignment="1" applyProtection="1">
      <alignment horizontal="right"/>
    </xf>
    <xf numFmtId="4" fontId="1" fillId="0" borderId="56" xfId="0" applyNumberFormat="1" applyFont="1" applyBorder="1" applyAlignment="1">
      <alignment horizontal="right"/>
    </xf>
    <xf numFmtId="4" fontId="1" fillId="0" borderId="26" xfId="0" applyNumberFormat="1" applyFont="1" applyBorder="1"/>
    <xf numFmtId="4" fontId="1" fillId="0" borderId="5" xfId="0" applyNumberFormat="1" applyFont="1" applyBorder="1"/>
    <xf numFmtId="4" fontId="10" fillId="0" borderId="32" xfId="0" applyNumberFormat="1" applyFont="1" applyBorder="1" applyAlignment="1"/>
    <xf numFmtId="0" fontId="1" fillId="0" borderId="83" xfId="0" applyFont="1" applyBorder="1" applyAlignment="1">
      <alignment horizontal="center"/>
    </xf>
    <xf numFmtId="0" fontId="12" fillId="0" borderId="0" xfId="0" applyFont="1" applyBorder="1" applyAlignment="1" applyProtection="1">
      <alignment horizontal="center"/>
    </xf>
    <xf numFmtId="0" fontId="12" fillId="0" borderId="0" xfId="0" applyFo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 applyProtection="1">
      <alignment horizontal="center"/>
    </xf>
    <xf numFmtId="4" fontId="1" fillId="0" borderId="26" xfId="0" applyNumberFormat="1" applyFont="1" applyFill="1" applyBorder="1" applyAlignment="1" applyProtection="1">
      <alignment horizontal="right"/>
    </xf>
    <xf numFmtId="4" fontId="10" fillId="0" borderId="29" xfId="0" applyNumberFormat="1" applyFont="1" applyFill="1" applyBorder="1" applyAlignment="1" applyProtection="1">
      <alignment horizontal="right"/>
    </xf>
    <xf numFmtId="0" fontId="13" fillId="0" borderId="0" xfId="0" applyFont="1"/>
    <xf numFmtId="4" fontId="13" fillId="0" borderId="63" xfId="0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center"/>
    </xf>
    <xf numFmtId="0" fontId="12" fillId="0" borderId="0" xfId="0" applyFont="1"/>
    <xf numFmtId="4" fontId="1" fillId="0" borderId="26" xfId="0" applyNumberFormat="1" applyFont="1" applyFill="1" applyBorder="1" applyAlignment="1" applyProtection="1">
      <alignment horizontal="right"/>
    </xf>
    <xf numFmtId="0" fontId="12" fillId="0" borderId="0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88" xfId="0" applyBorder="1" applyAlignment="1">
      <alignment wrapText="1"/>
    </xf>
    <xf numFmtId="4" fontId="10" fillId="0" borderId="88" xfId="0" applyNumberFormat="1" applyFont="1" applyBorder="1" applyAlignment="1"/>
    <xf numFmtId="3" fontId="0" fillId="0" borderId="89" xfId="0" applyNumberForma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3" fontId="20" fillId="0" borderId="0" xfId="0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1" fillId="0" borderId="76" xfId="0" applyFont="1" applyBorder="1"/>
    <xf numFmtId="4" fontId="1" fillId="0" borderId="76" xfId="0" applyNumberFormat="1" applyFont="1" applyBorder="1" applyAlignment="1"/>
    <xf numFmtId="3" fontId="1" fillId="0" borderId="77" xfId="0" applyNumberFormat="1" applyFont="1" applyBorder="1" applyAlignment="1">
      <alignment horizontal="right"/>
    </xf>
    <xf numFmtId="0" fontId="0" fillId="0" borderId="41" xfId="0" applyBorder="1" applyAlignment="1">
      <alignment wrapText="1"/>
    </xf>
    <xf numFmtId="4" fontId="10" fillId="0" borderId="41" xfId="0" applyNumberFormat="1" applyFont="1" applyBorder="1" applyAlignment="1"/>
    <xf numFmtId="3" fontId="0" fillId="0" borderId="42" xfId="0" applyNumberFormat="1" applyBorder="1" applyAlignment="1">
      <alignment horizontal="right"/>
    </xf>
    <xf numFmtId="0" fontId="10" fillId="0" borderId="32" xfId="0" applyFont="1" applyBorder="1" applyAlignment="1">
      <alignment wrapText="1"/>
    </xf>
    <xf numFmtId="0" fontId="10" fillId="0" borderId="88" xfId="0" applyFont="1" applyBorder="1" applyAlignment="1">
      <alignment wrapText="1"/>
    </xf>
    <xf numFmtId="3" fontId="10" fillId="0" borderId="33" xfId="0" applyNumberFormat="1" applyFont="1" applyBorder="1" applyAlignment="1">
      <alignment horizontal="right"/>
    </xf>
    <xf numFmtId="4" fontId="1" fillId="0" borderId="26" xfId="0" applyNumberFormat="1" applyFont="1" applyFill="1" applyBorder="1" applyAlignment="1" applyProtection="1">
      <alignment horizontal="right"/>
    </xf>
    <xf numFmtId="4" fontId="1" fillId="0" borderId="29" xfId="0" applyNumberFormat="1" applyFont="1" applyFill="1" applyBorder="1" applyAlignment="1" applyProtection="1">
      <alignment horizontal="right"/>
    </xf>
    <xf numFmtId="4" fontId="1" fillId="0" borderId="17" xfId="0" applyNumberFormat="1" applyFont="1" applyFill="1" applyBorder="1" applyAlignment="1" applyProtection="1">
      <alignment horizontal="right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 applyAlignment="1">
      <alignment wrapText="1"/>
    </xf>
    <xf numFmtId="4" fontId="17" fillId="0" borderId="44" xfId="0" applyNumberFormat="1" applyFont="1" applyBorder="1" applyAlignment="1" applyProtection="1">
      <alignment horizontal="right"/>
    </xf>
    <xf numFmtId="4" fontId="17" fillId="0" borderId="2" xfId="0" applyNumberFormat="1" applyFont="1" applyBorder="1" applyAlignment="1" applyProtection="1">
      <alignment horizontal="right"/>
    </xf>
    <xf numFmtId="4" fontId="17" fillId="0" borderId="32" xfId="0" applyNumberFormat="1" applyFont="1" applyBorder="1" applyAlignment="1" applyProtection="1">
      <alignment horizontal="right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/>
    </xf>
    <xf numFmtId="4" fontId="17" fillId="0" borderId="8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0" fillId="0" borderId="13" xfId="0" applyFont="1" applyFill="1" applyBorder="1" applyAlignment="1" applyProtection="1"/>
    <xf numFmtId="0" fontId="10" fillId="0" borderId="14" xfId="0" applyFont="1" applyFill="1" applyBorder="1"/>
    <xf numFmtId="4" fontId="10" fillId="0" borderId="86" xfId="0" applyNumberFormat="1" applyFont="1" applyFill="1" applyBorder="1" applyAlignment="1" applyProtection="1">
      <alignment horizontal="center"/>
    </xf>
    <xf numFmtId="4" fontId="10" fillId="0" borderId="54" xfId="0" applyNumberFormat="1" applyFont="1" applyFill="1" applyBorder="1" applyAlignment="1" applyProtection="1">
      <alignment horizontal="center"/>
    </xf>
    <xf numFmtId="4" fontId="10" fillId="0" borderId="86" xfId="0" applyNumberFormat="1" applyFont="1" applyFill="1" applyBorder="1" applyAlignment="1" applyProtection="1">
      <alignment horizontal="right"/>
    </xf>
    <xf numFmtId="4" fontId="10" fillId="0" borderId="54" xfId="0" applyNumberFormat="1" applyFont="1" applyFill="1" applyBorder="1" applyAlignment="1" applyProtection="1">
      <alignment horizontal="right"/>
    </xf>
    <xf numFmtId="1" fontId="10" fillId="0" borderId="86" xfId="0" applyNumberFormat="1" applyFont="1" applyFill="1" applyBorder="1" applyAlignment="1" applyProtection="1">
      <alignment horizontal="right"/>
    </xf>
    <xf numFmtId="1" fontId="10" fillId="0" borderId="87" xfId="0" applyNumberFormat="1" applyFont="1" applyFill="1" applyBorder="1" applyAlignment="1" applyProtection="1">
      <alignment horizontal="right"/>
    </xf>
    <xf numFmtId="0" fontId="10" fillId="0" borderId="53" xfId="0" applyFont="1" applyFill="1" applyBorder="1" applyAlignment="1" applyProtection="1">
      <alignment horizontal="left"/>
    </xf>
    <xf numFmtId="0" fontId="10" fillId="0" borderId="85" xfId="0" applyFont="1" applyFill="1" applyBorder="1" applyAlignment="1" applyProtection="1">
      <alignment horizontal="left"/>
    </xf>
    <xf numFmtId="0" fontId="10" fillId="0" borderId="54" xfId="0" applyFont="1" applyFill="1" applyBorder="1" applyAlignment="1" applyProtection="1">
      <alignment horizontal="left"/>
    </xf>
    <xf numFmtId="0" fontId="10" fillId="0" borderId="68" xfId="0" applyFont="1" applyFill="1" applyBorder="1" applyAlignment="1" applyProtection="1"/>
    <xf numFmtId="0" fontId="10" fillId="0" borderId="69" xfId="0" applyFont="1" applyFill="1" applyBorder="1"/>
    <xf numFmtId="4" fontId="10" fillId="0" borderId="69" xfId="0" applyNumberFormat="1" applyFont="1" applyFill="1" applyBorder="1" applyAlignment="1" applyProtection="1">
      <alignment horizontal="right"/>
    </xf>
    <xf numFmtId="1" fontId="10" fillId="0" borderId="69" xfId="0" applyNumberFormat="1" applyFont="1" applyFill="1" applyBorder="1" applyAlignment="1" applyProtection="1">
      <alignment horizontal="right"/>
    </xf>
    <xf numFmtId="1" fontId="10" fillId="0" borderId="69" xfId="0" applyNumberFormat="1" applyFont="1" applyFill="1" applyBorder="1" applyAlignment="1">
      <alignment horizontal="right"/>
    </xf>
    <xf numFmtId="1" fontId="10" fillId="0" borderId="70" xfId="0" applyNumberFormat="1" applyFont="1" applyFill="1" applyBorder="1" applyAlignment="1">
      <alignment horizontal="right"/>
    </xf>
    <xf numFmtId="4" fontId="10" fillId="0" borderId="5" xfId="0" applyNumberFormat="1" applyFont="1" applyFill="1" applyBorder="1" applyAlignment="1" applyProtection="1">
      <alignment horizontal="right"/>
    </xf>
    <xf numFmtId="0" fontId="10" fillId="0" borderId="5" xfId="0" applyFont="1" applyFill="1" applyBorder="1"/>
    <xf numFmtId="1" fontId="12" fillId="0" borderId="17" xfId="0" applyNumberFormat="1" applyFont="1" applyBorder="1" applyAlignment="1" applyProtection="1">
      <alignment horizontal="right"/>
    </xf>
    <xf numFmtId="1" fontId="12" fillId="0" borderId="18" xfId="0" applyNumberFormat="1" applyFont="1" applyBorder="1" applyAlignment="1">
      <alignment horizontal="right"/>
    </xf>
    <xf numFmtId="0" fontId="12" fillId="0" borderId="16" xfId="0" applyFont="1" applyFill="1" applyBorder="1" applyAlignment="1" applyProtection="1">
      <alignment horizontal="left"/>
    </xf>
    <xf numFmtId="0" fontId="12" fillId="0" borderId="17" xfId="0" applyFont="1" applyFill="1" applyBorder="1"/>
    <xf numFmtId="4" fontId="12" fillId="0" borderId="17" xfId="0" applyNumberFormat="1" applyFont="1" applyBorder="1" applyAlignment="1" applyProtection="1">
      <alignment horizontal="right"/>
    </xf>
    <xf numFmtId="4" fontId="12" fillId="0" borderId="17" xfId="0" applyNumberFormat="1" applyFont="1" applyBorder="1" applyAlignment="1">
      <alignment horizontal="right"/>
    </xf>
    <xf numFmtId="1" fontId="12" fillId="0" borderId="17" xfId="0" applyNumberFormat="1" applyFont="1" applyBorder="1" applyAlignment="1">
      <alignment horizontal="right"/>
    </xf>
    <xf numFmtId="1" fontId="10" fillId="0" borderId="48" xfId="0" applyNumberFormat="1" applyFont="1" applyFill="1" applyBorder="1" applyAlignment="1" applyProtection="1">
      <alignment horizontal="right"/>
    </xf>
    <xf numFmtId="1" fontId="10" fillId="0" borderId="49" xfId="0" applyNumberFormat="1" applyFont="1" applyFill="1" applyBorder="1" applyAlignment="1" applyProtection="1">
      <alignment horizontal="right"/>
    </xf>
    <xf numFmtId="1" fontId="10" fillId="0" borderId="50" xfId="0" applyNumberFormat="1" applyFont="1" applyFill="1" applyBorder="1" applyAlignment="1" applyProtection="1">
      <alignment horizontal="right"/>
    </xf>
    <xf numFmtId="0" fontId="10" fillId="0" borderId="24" xfId="0" applyFont="1" applyFill="1" applyBorder="1" applyAlignment="1" applyProtection="1"/>
    <xf numFmtId="0" fontId="10" fillId="0" borderId="46" xfId="0" applyFont="1" applyFill="1" applyBorder="1"/>
    <xf numFmtId="4" fontId="10" fillId="0" borderId="46" xfId="0" applyNumberFormat="1" applyFont="1" applyFill="1" applyBorder="1" applyAlignment="1" applyProtection="1">
      <alignment horizontal="right"/>
    </xf>
    <xf numFmtId="1" fontId="10" fillId="0" borderId="46" xfId="0" applyNumberFormat="1" applyFont="1" applyFill="1" applyBorder="1" applyAlignment="1" applyProtection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0" fillId="0" borderId="47" xfId="0" applyNumberFormat="1" applyFont="1" applyFill="1" applyBorder="1" applyAlignment="1">
      <alignment horizontal="right"/>
    </xf>
    <xf numFmtId="0" fontId="1" fillId="0" borderId="25" xfId="0" applyFont="1" applyFill="1" applyBorder="1" applyAlignment="1" applyProtection="1"/>
    <xf numFmtId="0" fontId="1" fillId="0" borderId="26" xfId="0" applyFont="1" applyFill="1" applyBorder="1"/>
    <xf numFmtId="4" fontId="1" fillId="0" borderId="26" xfId="0" applyNumberFormat="1" applyFont="1" applyFill="1" applyBorder="1" applyAlignment="1" applyProtection="1">
      <alignment horizontal="right"/>
    </xf>
    <xf numFmtId="1" fontId="1" fillId="0" borderId="26" xfId="0" applyNumberFormat="1" applyFont="1" applyFill="1" applyBorder="1" applyAlignment="1" applyProtection="1">
      <alignment horizontal="right"/>
    </xf>
    <xf numFmtId="1" fontId="1" fillId="0" borderId="26" xfId="0" applyNumberFormat="1" applyFont="1" applyFill="1" applyBorder="1" applyAlignment="1">
      <alignment horizontal="right"/>
    </xf>
    <xf numFmtId="1" fontId="10" fillId="0" borderId="5" xfId="0" applyNumberFormat="1" applyFont="1" applyFill="1" applyBorder="1" applyAlignment="1" applyProtection="1">
      <alignment horizontal="right"/>
    </xf>
    <xf numFmtId="1" fontId="10" fillId="0" borderId="6" xfId="0" applyNumberFormat="1" applyFont="1" applyFill="1" applyBorder="1" applyAlignment="1">
      <alignment horizontal="right"/>
    </xf>
    <xf numFmtId="4" fontId="10" fillId="0" borderId="14" xfId="0" applyNumberFormat="1" applyFont="1" applyFill="1" applyBorder="1" applyAlignment="1" applyProtection="1">
      <alignment horizontal="right"/>
    </xf>
    <xf numFmtId="1" fontId="1" fillId="0" borderId="27" xfId="0" applyNumberFormat="1" applyFont="1" applyFill="1" applyBorder="1" applyAlignment="1">
      <alignment horizontal="right"/>
    </xf>
    <xf numFmtId="1" fontId="10" fillId="0" borderId="14" xfId="0" applyNumberFormat="1" applyFont="1" applyFill="1" applyBorder="1" applyAlignment="1" applyProtection="1">
      <alignment horizontal="right"/>
    </xf>
    <xf numFmtId="1" fontId="10" fillId="0" borderId="14" xfId="0" applyNumberFormat="1" applyFont="1" applyFill="1" applyBorder="1" applyAlignment="1">
      <alignment horizontal="right"/>
    </xf>
    <xf numFmtId="1" fontId="10" fillId="0" borderId="15" xfId="0" applyNumberFormat="1" applyFont="1" applyFill="1" applyBorder="1" applyAlignment="1">
      <alignment horizontal="right"/>
    </xf>
    <xf numFmtId="0" fontId="10" fillId="0" borderId="4" xfId="0" applyFont="1" applyFill="1" applyBorder="1" applyAlignment="1" applyProtection="1"/>
    <xf numFmtId="1" fontId="10" fillId="0" borderId="5" xfId="0" applyNumberFormat="1" applyFont="1" applyFill="1" applyBorder="1" applyAlignment="1">
      <alignment horizontal="right"/>
    </xf>
    <xf numFmtId="0" fontId="10" fillId="0" borderId="40" xfId="0" applyFont="1" applyFill="1" applyBorder="1" applyAlignment="1" applyProtection="1">
      <alignment wrapText="1"/>
    </xf>
    <xf numFmtId="0" fontId="10" fillId="0" borderId="41" xfId="0" applyFont="1" applyFill="1" applyBorder="1" applyAlignment="1">
      <alignment wrapText="1"/>
    </xf>
    <xf numFmtId="4" fontId="10" fillId="0" borderId="41" xfId="0" applyNumberFormat="1" applyFont="1" applyFill="1" applyBorder="1" applyAlignment="1" applyProtection="1">
      <alignment horizontal="right" wrapText="1"/>
    </xf>
    <xf numFmtId="1" fontId="10" fillId="0" borderId="41" xfId="0" applyNumberFormat="1" applyFont="1" applyFill="1" applyBorder="1" applyAlignment="1" applyProtection="1">
      <alignment horizontal="right" wrapText="1"/>
    </xf>
    <xf numFmtId="1" fontId="10" fillId="0" borderId="41" xfId="0" applyNumberFormat="1" applyFont="1" applyFill="1" applyBorder="1" applyAlignment="1">
      <alignment horizontal="right" wrapText="1"/>
    </xf>
    <xf numFmtId="1" fontId="10" fillId="0" borderId="42" xfId="0" applyNumberFormat="1" applyFont="1" applyFill="1" applyBorder="1" applyAlignment="1">
      <alignment horizontal="right" wrapText="1"/>
    </xf>
    <xf numFmtId="0" fontId="10" fillId="0" borderId="28" xfId="0" applyFont="1" applyFill="1" applyBorder="1" applyAlignment="1" applyProtection="1"/>
    <xf numFmtId="0" fontId="10" fillId="0" borderId="29" xfId="0" applyFont="1" applyFill="1" applyBorder="1"/>
    <xf numFmtId="4" fontId="10" fillId="0" borderId="2" xfId="0" applyNumberFormat="1" applyFont="1" applyFill="1" applyBorder="1" applyAlignment="1" applyProtection="1">
      <alignment horizontal="right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right"/>
    </xf>
    <xf numFmtId="1" fontId="10" fillId="0" borderId="2" xfId="0" applyNumberFormat="1" applyFont="1" applyFill="1" applyBorder="1" applyAlignment="1" applyProtection="1">
      <alignment horizontal="right"/>
    </xf>
    <xf numFmtId="1" fontId="10" fillId="0" borderId="2" xfId="0" applyNumberFormat="1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0" fontId="10" fillId="0" borderId="5" xfId="0" applyFont="1" applyFill="1" applyBorder="1" applyAlignment="1" applyProtection="1"/>
    <xf numFmtId="1" fontId="1" fillId="0" borderId="35" xfId="0" applyNumberFormat="1" applyFont="1" applyFill="1" applyBorder="1" applyAlignment="1" applyProtection="1">
      <alignment horizontal="right"/>
    </xf>
    <xf numFmtId="1" fontId="1" fillId="0" borderId="35" xfId="0" applyNumberFormat="1" applyFont="1" applyFill="1" applyBorder="1" applyAlignment="1">
      <alignment horizontal="right"/>
    </xf>
    <xf numFmtId="1" fontId="1" fillId="0" borderId="36" xfId="0" applyNumberFormat="1" applyFont="1" applyFill="1" applyBorder="1" applyAlignment="1">
      <alignment horizontal="right"/>
    </xf>
    <xf numFmtId="0" fontId="1" fillId="0" borderId="34" xfId="0" applyFont="1" applyFill="1" applyBorder="1" applyAlignment="1" applyProtection="1"/>
    <xf numFmtId="0" fontId="1" fillId="0" borderId="35" xfId="0" applyFont="1" applyFill="1" applyBorder="1"/>
    <xf numFmtId="4" fontId="1" fillId="0" borderId="35" xfId="0" applyNumberFormat="1" applyFont="1" applyFill="1" applyBorder="1" applyAlignment="1" applyProtection="1">
      <alignment horizontal="right"/>
    </xf>
    <xf numFmtId="4" fontId="10" fillId="0" borderId="29" xfId="0" applyNumberFormat="1" applyFont="1" applyFill="1" applyBorder="1" applyAlignment="1" applyProtection="1">
      <alignment horizontal="right"/>
    </xf>
    <xf numFmtId="1" fontId="10" fillId="0" borderId="29" xfId="0" applyNumberFormat="1" applyFont="1" applyFill="1" applyBorder="1" applyAlignment="1" applyProtection="1">
      <alignment horizontal="right"/>
    </xf>
    <xf numFmtId="1" fontId="10" fillId="0" borderId="29" xfId="0" applyNumberFormat="1" applyFont="1" applyFill="1" applyBorder="1"/>
    <xf numFmtId="1" fontId="10" fillId="0" borderId="30" xfId="0" applyNumberFormat="1" applyFont="1" applyFill="1" applyBorder="1" applyAlignment="1">
      <alignment horizontal="right"/>
    </xf>
    <xf numFmtId="0" fontId="12" fillId="0" borderId="19" xfId="0" applyFont="1" applyFill="1" applyBorder="1" applyAlignment="1" applyProtection="1">
      <alignment horizontal="left"/>
    </xf>
    <xf numFmtId="0" fontId="12" fillId="0" borderId="20" xfId="0" applyFont="1" applyFill="1" applyBorder="1"/>
    <xf numFmtId="0" fontId="12" fillId="0" borderId="20" xfId="0" applyFont="1" applyFill="1" applyBorder="1" applyAlignment="1" applyProtection="1">
      <alignment horizontal="left"/>
    </xf>
    <xf numFmtId="0" fontId="18" fillId="0" borderId="20" xfId="0" applyFont="1" applyFill="1" applyBorder="1" applyAlignment="1" applyProtection="1">
      <alignment horizontal="left"/>
    </xf>
    <xf numFmtId="0" fontId="18" fillId="0" borderId="20" xfId="0" applyFont="1" applyFill="1" applyBorder="1"/>
    <xf numFmtId="1" fontId="12" fillId="0" borderId="20" xfId="0" applyNumberFormat="1" applyFont="1" applyFill="1" applyBorder="1" applyAlignment="1" applyProtection="1">
      <alignment horizontal="left"/>
    </xf>
    <xf numFmtId="1" fontId="12" fillId="0" borderId="20" xfId="0" applyNumberFormat="1" applyFont="1" applyFill="1" applyBorder="1"/>
    <xf numFmtId="1" fontId="12" fillId="0" borderId="20" xfId="0" applyNumberFormat="1" applyFont="1" applyFill="1" applyBorder="1" applyAlignment="1" applyProtection="1">
      <alignment horizontal="right"/>
    </xf>
    <xf numFmtId="1" fontId="12" fillId="0" borderId="21" xfId="0" applyNumberFormat="1" applyFont="1" applyFill="1" applyBorder="1" applyAlignment="1">
      <alignment horizontal="right"/>
    </xf>
    <xf numFmtId="4" fontId="12" fillId="0" borderId="20" xfId="0" applyNumberFormat="1" applyFont="1" applyFill="1" applyBorder="1" applyAlignment="1" applyProtection="1">
      <alignment horizontal="right"/>
    </xf>
    <xf numFmtId="1" fontId="12" fillId="0" borderId="21" xfId="0" applyNumberFormat="1" applyFont="1" applyFill="1" applyBorder="1" applyAlignment="1" applyProtection="1">
      <alignment horizontal="right"/>
    </xf>
    <xf numFmtId="1" fontId="1" fillId="0" borderId="26" xfId="0" applyNumberFormat="1" applyFont="1" applyFill="1" applyBorder="1"/>
    <xf numFmtId="0" fontId="10" fillId="0" borderId="28" xfId="0" applyFont="1" applyFill="1" applyBorder="1" applyAlignment="1" applyProtection="1">
      <alignment wrapText="1"/>
    </xf>
    <xf numFmtId="0" fontId="10" fillId="0" borderId="29" xfId="0" applyFont="1" applyFill="1" applyBorder="1" applyAlignment="1">
      <alignment wrapText="1"/>
    </xf>
    <xf numFmtId="1" fontId="1" fillId="0" borderId="35" xfId="0" applyNumberFormat="1" applyFont="1" applyFill="1" applyBorder="1"/>
    <xf numFmtId="1" fontId="1" fillId="0" borderId="36" xfId="0" applyNumberFormat="1" applyFont="1" applyFill="1" applyBorder="1"/>
    <xf numFmtId="0" fontId="12" fillId="0" borderId="10" xfId="0" applyFont="1" applyFill="1" applyBorder="1" applyAlignment="1" applyProtection="1"/>
    <xf numFmtId="0" fontId="15" fillId="0" borderId="11" xfId="0" applyFont="1" applyFill="1" applyBorder="1"/>
    <xf numFmtId="4" fontId="12" fillId="0" borderId="11" xfId="0" applyNumberFormat="1" applyFont="1" applyFill="1" applyBorder="1" applyAlignment="1" applyProtection="1">
      <alignment horizontal="right"/>
    </xf>
    <xf numFmtId="4" fontId="18" fillId="0" borderId="11" xfId="0" applyNumberFormat="1" applyFont="1" applyFill="1" applyBorder="1" applyAlignment="1" applyProtection="1">
      <alignment horizontal="right"/>
    </xf>
    <xf numFmtId="0" fontId="19" fillId="0" borderId="11" xfId="0" applyFont="1" applyFill="1" applyBorder="1"/>
    <xf numFmtId="164" fontId="16" fillId="0" borderId="11" xfId="0" applyNumberFormat="1" applyFont="1" applyFill="1" applyBorder="1" applyAlignment="1" applyProtection="1">
      <alignment horizontal="right"/>
    </xf>
    <xf numFmtId="0" fontId="15" fillId="0" borderId="12" xfId="0" applyFont="1" applyFill="1" applyBorder="1"/>
    <xf numFmtId="0" fontId="7" fillId="0" borderId="31" xfId="0" applyFont="1" applyFill="1" applyBorder="1" applyAlignment="1">
      <alignment horizontal="center"/>
    </xf>
    <xf numFmtId="0" fontId="0" fillId="0" borderId="32" xfId="0" applyFill="1" applyBorder="1"/>
    <xf numFmtId="0" fontId="1" fillId="0" borderId="32" xfId="0" applyFont="1" applyFill="1" applyBorder="1" applyAlignment="1">
      <alignment horizontal="center"/>
    </xf>
    <xf numFmtId="0" fontId="10" fillId="0" borderId="32" xfId="0" applyFont="1" applyFill="1" applyBorder="1"/>
    <xf numFmtId="0" fontId="7" fillId="0" borderId="32" xfId="0" applyFont="1" applyFill="1" applyBorder="1" applyAlignment="1">
      <alignment horizontal="center"/>
    </xf>
    <xf numFmtId="0" fontId="0" fillId="0" borderId="33" xfId="0" applyFill="1" applyBorder="1"/>
    <xf numFmtId="0" fontId="7" fillId="0" borderId="43" xfId="0" applyFont="1" applyFill="1" applyBorder="1" applyAlignment="1">
      <alignment horizontal="center"/>
    </xf>
    <xf numFmtId="0" fontId="0" fillId="0" borderId="44" xfId="0" applyFill="1" applyBorder="1"/>
    <xf numFmtId="0" fontId="1" fillId="0" borderId="44" xfId="0" applyFont="1" applyFill="1" applyBorder="1" applyAlignment="1">
      <alignment horizontal="center"/>
    </xf>
    <xf numFmtId="0" fontId="10" fillId="0" borderId="44" xfId="0" applyFont="1" applyFill="1" applyBorder="1"/>
    <xf numFmtId="0" fontId="8" fillId="0" borderId="0" xfId="0" applyFont="1" applyBorder="1" applyAlignment="1" applyProtection="1">
      <alignment horizontal="center" vertical="center"/>
    </xf>
    <xf numFmtId="0" fontId="1" fillId="0" borderId="44" xfId="0" applyFont="1" applyFill="1" applyBorder="1" applyAlignment="1">
      <alignment horizontal="center" wrapText="1"/>
    </xf>
    <xf numFmtId="0" fontId="10" fillId="0" borderId="44" xfId="0" applyFont="1" applyFill="1" applyBorder="1" applyAlignment="1">
      <alignment wrapText="1"/>
    </xf>
    <xf numFmtId="0" fontId="7" fillId="0" borderId="44" xfId="0" applyFont="1" applyFill="1" applyBorder="1" applyAlignment="1">
      <alignment horizontal="center" wrapText="1"/>
    </xf>
    <xf numFmtId="0" fontId="0" fillId="0" borderId="44" xfId="0" applyFill="1" applyBorder="1" applyAlignment="1">
      <alignment wrapText="1"/>
    </xf>
    <xf numFmtId="0" fontId="0" fillId="0" borderId="45" xfId="0" applyFill="1" applyBorder="1" applyAlignment="1">
      <alignment wrapText="1"/>
    </xf>
    <xf numFmtId="1" fontId="10" fillId="0" borderId="6" xfId="0" applyNumberFormat="1" applyFont="1" applyFill="1" applyBorder="1" applyAlignment="1" applyProtection="1">
      <alignment horizontal="right"/>
    </xf>
    <xf numFmtId="1" fontId="10" fillId="0" borderId="14" xfId="0" applyNumberFormat="1" applyFont="1" applyFill="1" applyBorder="1"/>
    <xf numFmtId="0" fontId="3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/>
    </xf>
    <xf numFmtId="0" fontId="12" fillId="0" borderId="0" xfId="1" applyFont="1"/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1" fontId="10" fillId="0" borderId="54" xfId="0" applyNumberFormat="1" applyFont="1" applyFill="1" applyBorder="1" applyAlignment="1" applyProtection="1">
      <alignment horizontal="righ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workbookViewId="0">
      <selection activeCell="B35" sqref="B35"/>
    </sheetView>
  </sheetViews>
  <sheetFormatPr defaultRowHeight="12.75" x14ac:dyDescent="0.2"/>
  <cols>
    <col min="1" max="1" width="71.7109375" customWidth="1"/>
    <col min="2" max="2" width="20" customWidth="1"/>
    <col min="3" max="3" width="19.85546875" customWidth="1"/>
    <col min="4" max="4" width="17.7109375" customWidth="1"/>
    <col min="5" max="5" width="19.28515625" customWidth="1"/>
    <col min="6" max="6" width="14.5703125" customWidth="1"/>
    <col min="7" max="7" width="12.140625" customWidth="1"/>
    <col min="10" max="10" width="13.7109375" customWidth="1"/>
    <col min="11" max="11" width="18.42578125" style="248" customWidth="1"/>
    <col min="12" max="12" width="15.42578125" style="248" customWidth="1"/>
  </cols>
  <sheetData>
    <row r="1" spans="1:12" s="8" customFormat="1" x14ac:dyDescent="0.2">
      <c r="A1" s="8" t="s">
        <v>209</v>
      </c>
      <c r="K1" s="248"/>
      <c r="L1" s="248"/>
    </row>
    <row r="2" spans="1:12" s="8" customFormat="1" x14ac:dyDescent="0.2">
      <c r="A2" s="8" t="s">
        <v>210</v>
      </c>
      <c r="K2" s="248"/>
      <c r="L2" s="248"/>
    </row>
    <row r="3" spans="1:12" s="8" customFormat="1" x14ac:dyDescent="0.2">
      <c r="A3" s="8" t="s">
        <v>211</v>
      </c>
      <c r="K3" s="248"/>
      <c r="L3" s="248"/>
    </row>
    <row r="4" spans="1:12" x14ac:dyDescent="0.2">
      <c r="A4" t="s">
        <v>212</v>
      </c>
    </row>
    <row r="5" spans="1:12" s="8" customFormat="1" x14ac:dyDescent="0.2">
      <c r="K5" s="248"/>
      <c r="L5" s="248"/>
    </row>
    <row r="6" spans="1:12" s="1" customFormat="1" ht="31.9" customHeight="1" x14ac:dyDescent="0.25">
      <c r="A6" s="411" t="s">
        <v>322</v>
      </c>
      <c r="B6" s="411"/>
      <c r="C6" s="411"/>
      <c r="D6" s="411"/>
      <c r="E6" s="411"/>
      <c r="F6" s="411"/>
      <c r="G6" s="411"/>
      <c r="K6" s="249"/>
      <c r="L6" s="249"/>
    </row>
    <row r="7" spans="1:12" ht="27.6" customHeight="1" x14ac:dyDescent="0.2">
      <c r="A7" s="412" t="s">
        <v>323</v>
      </c>
      <c r="B7" s="413"/>
      <c r="C7" s="413"/>
      <c r="D7" s="413"/>
      <c r="E7" s="413"/>
      <c r="F7" s="413"/>
      <c r="G7" s="413"/>
    </row>
    <row r="8" spans="1:12" x14ac:dyDescent="0.2">
      <c r="A8" s="414" t="s">
        <v>213</v>
      </c>
      <c r="B8" s="415"/>
      <c r="C8" s="415"/>
      <c r="D8" s="415"/>
      <c r="E8" s="415"/>
      <c r="F8" s="415"/>
    </row>
    <row r="9" spans="1:12" s="8" customFormat="1" ht="13.5" thickBot="1" x14ac:dyDescent="0.25">
      <c r="A9" s="15"/>
      <c r="K9" s="248"/>
      <c r="L9" s="248"/>
    </row>
    <row r="10" spans="1:12" s="10" customFormat="1" ht="26.25" customHeight="1" thickTop="1" thickBot="1" x14ac:dyDescent="0.25">
      <c r="A10" s="11" t="s">
        <v>1</v>
      </c>
      <c r="B10" s="207" t="s">
        <v>315</v>
      </c>
      <c r="C10" s="280" t="s">
        <v>324</v>
      </c>
      <c r="D10" s="207" t="s">
        <v>325</v>
      </c>
      <c r="E10" s="207" t="s">
        <v>326</v>
      </c>
      <c r="F10" s="12" t="s">
        <v>2</v>
      </c>
      <c r="G10" s="13" t="s">
        <v>3</v>
      </c>
      <c r="J10" s="265"/>
      <c r="K10" s="266"/>
      <c r="L10" s="266"/>
    </row>
    <row r="11" spans="1:12" s="14" customFormat="1" ht="22.5" customHeight="1" thickTop="1" thickBot="1" x14ac:dyDescent="0.25">
      <c r="A11" s="335" t="s">
        <v>316</v>
      </c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9" t="s">
        <v>9</v>
      </c>
      <c r="J11" s="267"/>
      <c r="K11" s="268"/>
      <c r="L11" s="268"/>
    </row>
    <row r="12" spans="1:12" s="10" customFormat="1" ht="18.75" customHeight="1" x14ac:dyDescent="0.2">
      <c r="A12" s="22" t="s">
        <v>10</v>
      </c>
      <c r="B12" s="16">
        <v>1129452.97</v>
      </c>
      <c r="C12" s="16">
        <f>2406235</f>
        <v>2406235</v>
      </c>
      <c r="D12" s="16">
        <f>2285910+126111+173685+6080+34010+986+6034</f>
        <v>2632816</v>
      </c>
      <c r="E12" s="16">
        <v>1257743.1499999999</v>
      </c>
      <c r="F12" s="24">
        <f>E12/B12*100</f>
        <v>111.35861194822481</v>
      </c>
      <c r="G12" s="25">
        <f>E12/D12*100</f>
        <v>47.771783140181462</v>
      </c>
      <c r="J12" s="269"/>
      <c r="K12" s="270"/>
      <c r="L12" s="266"/>
    </row>
    <row r="13" spans="1:12" s="10" customFormat="1" ht="18.75" customHeight="1" x14ac:dyDescent="0.2">
      <c r="A13" s="21" t="s">
        <v>215</v>
      </c>
      <c r="B13" s="20">
        <v>0</v>
      </c>
      <c r="C13" s="20">
        <v>0</v>
      </c>
      <c r="D13" s="20">
        <v>0</v>
      </c>
      <c r="E13" s="20">
        <v>0</v>
      </c>
      <c r="F13" s="26"/>
      <c r="G13" s="27"/>
      <c r="J13" s="269"/>
      <c r="K13" s="266"/>
      <c r="L13" s="266"/>
    </row>
    <row r="14" spans="1:12" s="102" customFormat="1" ht="18.75" customHeight="1" x14ac:dyDescent="0.2">
      <c r="A14" s="163" t="s">
        <v>11</v>
      </c>
      <c r="B14" s="164">
        <f>B12+B13</f>
        <v>1129452.97</v>
      </c>
      <c r="C14" s="164">
        <f>C12+C13</f>
        <v>2406235</v>
      </c>
      <c r="D14" s="164">
        <f>D12+D13</f>
        <v>2632816</v>
      </c>
      <c r="E14" s="164">
        <f>E12+E13</f>
        <v>1257743.1499999999</v>
      </c>
      <c r="F14" s="165">
        <f t="shared" ref="F14:F17" si="0">E14/B14*100</f>
        <v>111.35861194822481</v>
      </c>
      <c r="G14" s="166">
        <f t="shared" ref="G14:G17" si="1">E14/D14*100</f>
        <v>47.771783140181462</v>
      </c>
      <c r="J14" s="271"/>
      <c r="K14" s="272"/>
      <c r="L14" s="271"/>
    </row>
    <row r="15" spans="1:12" s="10" customFormat="1" ht="18.75" customHeight="1" x14ac:dyDescent="0.2">
      <c r="A15" s="22" t="s">
        <v>12</v>
      </c>
      <c r="B15" s="16">
        <v>1315899.93</v>
      </c>
      <c r="C15" s="16">
        <v>2391235</v>
      </c>
      <c r="D15" s="16">
        <f>2416596</f>
        <v>2416596</v>
      </c>
      <c r="E15" s="16">
        <v>1243073.6499999999</v>
      </c>
      <c r="F15" s="24">
        <f t="shared" si="0"/>
        <v>94.465667309519503</v>
      </c>
      <c r="G15" s="25">
        <f t="shared" si="1"/>
        <v>51.439034493146551</v>
      </c>
      <c r="J15" s="269"/>
      <c r="K15" s="270"/>
      <c r="L15" s="266"/>
    </row>
    <row r="16" spans="1:12" s="10" customFormat="1" ht="18.75" customHeight="1" x14ac:dyDescent="0.2">
      <c r="A16" s="21" t="s">
        <v>214</v>
      </c>
      <c r="B16" s="20">
        <v>7981.96</v>
      </c>
      <c r="C16" s="20">
        <v>15000</v>
      </c>
      <c r="D16" s="20">
        <v>18225</v>
      </c>
      <c r="E16" s="20">
        <v>2006.63</v>
      </c>
      <c r="F16" s="26">
        <f t="shared" si="0"/>
        <v>25.139564718440084</v>
      </c>
      <c r="G16" s="27">
        <f t="shared" si="1"/>
        <v>11.010315500685872</v>
      </c>
      <c r="J16" s="269"/>
      <c r="K16" s="266"/>
      <c r="L16" s="266"/>
    </row>
    <row r="17" spans="1:12" s="102" customFormat="1" ht="18.75" customHeight="1" x14ac:dyDescent="0.2">
      <c r="A17" s="163" t="s">
        <v>14</v>
      </c>
      <c r="B17" s="164">
        <f>B15+B16</f>
        <v>1323881.8899999999</v>
      </c>
      <c r="C17" s="164">
        <f>C15+C16</f>
        <v>2406235</v>
      </c>
      <c r="D17" s="164">
        <f>D15+D16</f>
        <v>2434821</v>
      </c>
      <c r="E17" s="164">
        <f>E15+E16</f>
        <v>1245080.2799999998</v>
      </c>
      <c r="F17" s="165">
        <f t="shared" si="0"/>
        <v>94.047685779582636</v>
      </c>
      <c r="G17" s="166">
        <f t="shared" si="1"/>
        <v>51.136419473957218</v>
      </c>
      <c r="J17" s="271"/>
      <c r="K17" s="271"/>
      <c r="L17" s="271"/>
    </row>
    <row r="18" spans="1:12" s="10" customFormat="1" ht="15" customHeight="1" thickBot="1" x14ac:dyDescent="0.25">
      <c r="A18" s="336" t="s">
        <v>317</v>
      </c>
      <c r="B18" s="401">
        <f>B14-B17</f>
        <v>-194428.91999999993</v>
      </c>
      <c r="C18" s="401">
        <f>C14-C17</f>
        <v>0</v>
      </c>
      <c r="D18" s="401">
        <f>D14-D17</f>
        <v>197995</v>
      </c>
      <c r="E18" s="401">
        <f>E14-E17</f>
        <v>12662.870000000112</v>
      </c>
      <c r="F18" s="28"/>
      <c r="G18" s="29"/>
      <c r="J18" s="266"/>
      <c r="K18" s="270"/>
      <c r="L18" s="266"/>
    </row>
    <row r="19" spans="1:12" s="14" customFormat="1" ht="22.5" customHeight="1" thickBot="1" x14ac:dyDescent="0.25">
      <c r="A19" s="337" t="s">
        <v>318</v>
      </c>
      <c r="B19" s="276" t="s">
        <v>0</v>
      </c>
      <c r="C19" s="252" t="s">
        <v>0</v>
      </c>
      <c r="D19" s="252" t="s">
        <v>0</v>
      </c>
      <c r="E19" s="252" t="s">
        <v>0</v>
      </c>
      <c r="F19" s="30"/>
      <c r="G19" s="31"/>
      <c r="J19" s="267"/>
      <c r="K19" s="273"/>
      <c r="L19" s="268"/>
    </row>
    <row r="20" spans="1:12" s="14" customFormat="1" ht="18.75" customHeight="1" x14ac:dyDescent="0.2">
      <c r="A20" s="23" t="s">
        <v>216</v>
      </c>
      <c r="B20" s="334">
        <v>0</v>
      </c>
      <c r="C20" s="16">
        <v>0</v>
      </c>
      <c r="D20" s="16">
        <v>0</v>
      </c>
      <c r="E20" s="16">
        <v>0</v>
      </c>
      <c r="F20" s="32"/>
      <c r="G20" s="33"/>
      <c r="J20" s="267"/>
      <c r="K20" s="273"/>
      <c r="L20" s="268"/>
    </row>
    <row r="21" spans="1:12" s="14" customFormat="1" ht="18.75" customHeight="1" x14ac:dyDescent="0.2">
      <c r="A21" s="21" t="s">
        <v>217</v>
      </c>
      <c r="B21" s="20">
        <v>0</v>
      </c>
      <c r="C21" s="20">
        <v>0</v>
      </c>
      <c r="D21" s="20">
        <v>0</v>
      </c>
      <c r="E21" s="20">
        <v>0</v>
      </c>
      <c r="F21" s="34"/>
      <c r="G21" s="35"/>
      <c r="J21" s="267"/>
      <c r="K21" s="273"/>
      <c r="L21" s="268"/>
    </row>
    <row r="22" spans="1:12" s="97" customFormat="1" ht="18.75" customHeight="1" x14ac:dyDescent="0.2">
      <c r="A22" s="338" t="s">
        <v>319</v>
      </c>
      <c r="B22" s="380">
        <f>B20-B21</f>
        <v>0</v>
      </c>
      <c r="C22" s="374">
        <f t="shared" ref="C22:E22" si="2">C20-C21</f>
        <v>0</v>
      </c>
      <c r="D22" s="374">
        <f t="shared" si="2"/>
        <v>0</v>
      </c>
      <c r="E22" s="326">
        <f t="shared" si="2"/>
        <v>0</v>
      </c>
      <c r="F22" s="36"/>
      <c r="G22" s="37"/>
      <c r="J22" s="267"/>
      <c r="K22" s="273"/>
      <c r="L22" s="268"/>
    </row>
    <row r="23" spans="1:12" s="14" customFormat="1" ht="18.75" customHeight="1" x14ac:dyDescent="0.2">
      <c r="A23" s="359" t="s">
        <v>321</v>
      </c>
      <c r="B23" s="380">
        <v>33229.39</v>
      </c>
      <c r="C23" s="380"/>
      <c r="D23" s="380">
        <v>-197994.46</v>
      </c>
      <c r="E23" s="400">
        <v>0</v>
      </c>
      <c r="F23" s="36"/>
      <c r="G23" s="37"/>
      <c r="J23" s="267"/>
      <c r="K23" s="268"/>
      <c r="L23" s="268"/>
    </row>
    <row r="24" spans="1:12" s="97" customFormat="1" ht="18.75" customHeight="1" x14ac:dyDescent="0.2">
      <c r="A24" s="359" t="s">
        <v>361</v>
      </c>
      <c r="B24" s="380">
        <v>33229.39</v>
      </c>
      <c r="C24" s="380"/>
      <c r="D24" s="380">
        <v>-197994.46</v>
      </c>
      <c r="E24" s="400">
        <v>7025</v>
      </c>
      <c r="F24" s="36"/>
      <c r="G24" s="37"/>
      <c r="J24" s="267"/>
      <c r="K24" s="268"/>
      <c r="L24" s="268"/>
    </row>
    <row r="25" spans="1:12" s="14" customFormat="1" ht="18.75" customHeight="1" thickBot="1" x14ac:dyDescent="0.25">
      <c r="A25" s="360" t="s">
        <v>369</v>
      </c>
      <c r="B25" s="402">
        <v>0</v>
      </c>
      <c r="C25" s="402"/>
      <c r="D25" s="402">
        <v>0</v>
      </c>
      <c r="E25" s="333"/>
      <c r="F25" s="38"/>
      <c r="G25" s="39"/>
      <c r="J25" s="267"/>
      <c r="K25" s="268"/>
      <c r="L25" s="268"/>
    </row>
    <row r="26" spans="1:12" ht="8.25" customHeight="1" thickTop="1" x14ac:dyDescent="0.2">
      <c r="A26" s="6"/>
      <c r="B26" s="4"/>
      <c r="C26" s="4"/>
      <c r="D26" s="4"/>
      <c r="E26" s="4"/>
      <c r="F26" s="5"/>
      <c r="G26" s="5"/>
      <c r="J26" s="225"/>
      <c r="K26" s="274"/>
      <c r="L26" s="274"/>
    </row>
    <row r="27" spans="1:12" x14ac:dyDescent="0.2">
      <c r="C27" s="92"/>
      <c r="D27" s="92"/>
      <c r="J27" s="225"/>
      <c r="K27" s="274"/>
      <c r="L27" s="274"/>
    </row>
    <row r="28" spans="1:12" x14ac:dyDescent="0.2">
      <c r="J28" s="225"/>
      <c r="K28" s="274"/>
      <c r="L28" s="274"/>
    </row>
    <row r="29" spans="1:12" x14ac:dyDescent="0.2">
      <c r="J29" s="225"/>
      <c r="K29" s="274"/>
      <c r="L29" s="274"/>
    </row>
    <row r="30" spans="1:12" ht="12.75" customHeight="1" x14ac:dyDescent="0.2">
      <c r="J30" s="225"/>
      <c r="K30" s="274"/>
      <c r="L30" s="274"/>
    </row>
    <row r="35" ht="36.75" customHeight="1" x14ac:dyDescent="0.2"/>
    <row r="37" ht="28.5" customHeight="1" x14ac:dyDescent="0.2"/>
  </sheetData>
  <mergeCells count="3">
    <mergeCell ref="A6:G6"/>
    <mergeCell ref="A7:G7"/>
    <mergeCell ref="A8:F8"/>
  </mergeCells>
  <pageMargins left="0.74803149606299213" right="0.74803149606299213" top="0.78740157480314965" bottom="0.78740157480314965" header="0.51181102362204722" footer="0.51181102362204722"/>
  <pageSetup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workbookViewId="0">
      <selection activeCell="E105" sqref="E105"/>
    </sheetView>
  </sheetViews>
  <sheetFormatPr defaultRowHeight="12.75" x14ac:dyDescent="0.2"/>
  <cols>
    <col min="1" max="1" width="78.42578125" customWidth="1"/>
    <col min="2" max="2" width="18.42578125" style="40" customWidth="1"/>
    <col min="3" max="3" width="18.28515625" style="92" customWidth="1"/>
    <col min="4" max="4" width="16.5703125" style="92" customWidth="1"/>
    <col min="5" max="5" width="20" style="40" customWidth="1"/>
    <col min="6" max="7" width="7.5703125" customWidth="1"/>
    <col min="10" max="10" width="15" style="248" customWidth="1"/>
  </cols>
  <sheetData>
    <row r="1" spans="1:10" s="9" customFormat="1" x14ac:dyDescent="0.2">
      <c r="A1" s="9" t="s">
        <v>209</v>
      </c>
      <c r="B1" s="40"/>
      <c r="C1" s="92"/>
      <c r="D1" s="92"/>
      <c r="E1" s="40"/>
      <c r="J1" s="248"/>
    </row>
    <row r="2" spans="1:10" s="9" customFormat="1" x14ac:dyDescent="0.2">
      <c r="A2" s="9" t="s">
        <v>210</v>
      </c>
      <c r="B2" s="40"/>
      <c r="C2" s="92"/>
      <c r="D2" s="92"/>
      <c r="E2" s="40"/>
      <c r="J2" s="248"/>
    </row>
    <row r="3" spans="1:10" s="9" customFormat="1" x14ac:dyDescent="0.2">
      <c r="A3" s="9" t="s">
        <v>211</v>
      </c>
      <c r="B3" s="40"/>
      <c r="C3" s="92"/>
      <c r="D3" s="92"/>
      <c r="E3" s="40"/>
      <c r="J3" s="248"/>
    </row>
    <row r="4" spans="1:10" s="9" customFormat="1" x14ac:dyDescent="0.2">
      <c r="A4" s="9" t="s">
        <v>212</v>
      </c>
      <c r="B4" s="40"/>
      <c r="C4" s="92"/>
      <c r="D4" s="92"/>
      <c r="E4" s="40"/>
      <c r="J4" s="248"/>
    </row>
    <row r="5" spans="1:10" x14ac:dyDescent="0.2">
      <c r="A5" s="416"/>
      <c r="B5" s="416"/>
      <c r="C5" s="416"/>
      <c r="D5" s="416"/>
      <c r="E5" s="416"/>
      <c r="F5" s="416"/>
      <c r="G5" s="416"/>
    </row>
    <row r="6" spans="1:10" s="1" customFormat="1" ht="24.75" customHeight="1" x14ac:dyDescent="0.25">
      <c r="A6" s="411" t="s">
        <v>322</v>
      </c>
      <c r="B6" s="411"/>
      <c r="C6" s="411"/>
      <c r="D6" s="411"/>
      <c r="E6" s="411"/>
      <c r="F6" s="411"/>
      <c r="G6" s="411"/>
      <c r="J6" s="249"/>
    </row>
    <row r="7" spans="1:10" s="2" customFormat="1" ht="24.75" customHeight="1" x14ac:dyDescent="0.25">
      <c r="A7" s="418" t="s">
        <v>15</v>
      </c>
      <c r="B7" s="419"/>
      <c r="C7" s="419"/>
      <c r="D7" s="419"/>
      <c r="E7" s="419"/>
      <c r="F7" s="419"/>
      <c r="G7" s="419"/>
      <c r="J7" s="253"/>
    </row>
    <row r="8" spans="1:10" ht="24.75" customHeight="1" x14ac:dyDescent="0.2">
      <c r="A8" s="412" t="s">
        <v>323</v>
      </c>
      <c r="B8" s="413"/>
      <c r="C8" s="413"/>
      <c r="D8" s="413"/>
      <c r="E8" s="413"/>
      <c r="F8" s="413"/>
      <c r="G8" s="413"/>
    </row>
    <row r="9" spans="1:10" s="101" customFormat="1" x14ac:dyDescent="0.2">
      <c r="A9" s="414" t="s">
        <v>213</v>
      </c>
      <c r="B9" s="415"/>
      <c r="C9" s="415"/>
      <c r="D9" s="415"/>
      <c r="E9" s="415"/>
      <c r="F9" s="415"/>
      <c r="J9" s="248"/>
    </row>
    <row r="10" spans="1:10" ht="13.5" thickBot="1" x14ac:dyDescent="0.25">
      <c r="A10" s="417" t="s">
        <v>0</v>
      </c>
      <c r="B10" s="417"/>
      <c r="C10" s="417"/>
      <c r="D10" s="417"/>
      <c r="E10" s="417"/>
      <c r="F10" s="417"/>
      <c r="G10" s="417"/>
    </row>
    <row r="11" spans="1:10" s="10" customFormat="1" ht="26.25" customHeight="1" thickTop="1" thickBot="1" x14ac:dyDescent="0.25">
      <c r="A11" s="46" t="s">
        <v>1</v>
      </c>
      <c r="B11" s="207" t="s">
        <v>315</v>
      </c>
      <c r="C11" s="280" t="s">
        <v>324</v>
      </c>
      <c r="D11" s="207" t="s">
        <v>325</v>
      </c>
      <c r="E11" s="207" t="s">
        <v>326</v>
      </c>
      <c r="F11" s="257" t="s">
        <v>2</v>
      </c>
      <c r="G11" s="258" t="s">
        <v>3</v>
      </c>
      <c r="J11" s="247"/>
    </row>
    <row r="12" spans="1:10" s="14" customFormat="1" ht="18.75" customHeight="1" thickTop="1" thickBot="1" x14ac:dyDescent="0.25">
      <c r="A12" s="162"/>
      <c r="B12" s="312" t="s">
        <v>4</v>
      </c>
      <c r="C12" s="312" t="s">
        <v>5</v>
      </c>
      <c r="D12" s="312" t="s">
        <v>6</v>
      </c>
      <c r="E12" s="312" t="s">
        <v>7</v>
      </c>
      <c r="F12" s="18" t="s">
        <v>8</v>
      </c>
      <c r="G12" s="19" t="s">
        <v>9</v>
      </c>
      <c r="J12" s="250"/>
    </row>
    <row r="13" spans="1:10" s="97" customFormat="1" ht="18.75" customHeight="1" thickBot="1" x14ac:dyDescent="0.25">
      <c r="A13" s="218" t="s">
        <v>238</v>
      </c>
      <c r="B13" s="313">
        <f>B14+B47</f>
        <v>1129452.9699999997</v>
      </c>
      <c r="C13" s="313">
        <f>C14+C47</f>
        <v>2406235</v>
      </c>
      <c r="D13" s="313">
        <f>D14+D47</f>
        <v>2632816</v>
      </c>
      <c r="E13" s="313">
        <f>E14+E47</f>
        <v>1257743.1499999999</v>
      </c>
      <c r="F13" s="219"/>
      <c r="G13" s="220"/>
      <c r="J13" s="250"/>
    </row>
    <row r="14" spans="1:10" s="176" customFormat="1" ht="18" customHeight="1" thickBot="1" x14ac:dyDescent="0.25">
      <c r="A14" s="172" t="s">
        <v>10</v>
      </c>
      <c r="B14" s="173">
        <f>B15+B28+B31+B34+B40+B44</f>
        <v>1129452.9699999997</v>
      </c>
      <c r="C14" s="173">
        <f>C15+C28+C31+C34+C40+C44</f>
        <v>2406235</v>
      </c>
      <c r="D14" s="173">
        <f>D15+D28+D31+D34+D40+D44</f>
        <v>2632816</v>
      </c>
      <c r="E14" s="173">
        <f>E15+E28+E31+E34+E40+E44</f>
        <v>1257743.1499999999</v>
      </c>
      <c r="F14" s="174">
        <f>E14/B14*100</f>
        <v>111.35861194822483</v>
      </c>
      <c r="G14" s="175">
        <f>E14/D14*100</f>
        <v>47.771783140181462</v>
      </c>
      <c r="J14" s="254"/>
    </row>
    <row r="15" spans="1:10" x14ac:dyDescent="0.2">
      <c r="A15" s="55" t="s">
        <v>16</v>
      </c>
      <c r="B15" s="314">
        <f>B16+B19+B21+B24+B26</f>
        <v>981240.35999999987</v>
      </c>
      <c r="C15" s="314">
        <f>C16+C19+C21+C24+C26</f>
        <v>2042090</v>
      </c>
      <c r="D15" s="314">
        <f>D16+D19+D21+D24+D26</f>
        <v>2206080</v>
      </c>
      <c r="E15" s="314">
        <f>E16+E19+E21+E24+E26</f>
        <v>1071120.08</v>
      </c>
      <c r="F15" s="67">
        <f t="shared" ref="F15:F62" si="0">E15/B15*100</f>
        <v>109.15980667570587</v>
      </c>
      <c r="G15" s="68">
        <f t="shared" ref="G15:G62" si="1">E15/D15*100</f>
        <v>48.553093269509723</v>
      </c>
    </row>
    <row r="16" spans="1:10" x14ac:dyDescent="0.2">
      <c r="A16" s="54" t="s">
        <v>220</v>
      </c>
      <c r="B16" s="315">
        <f>SUM(B17:B18)</f>
        <v>0</v>
      </c>
      <c r="C16" s="315">
        <f>SUM(C17:C18)</f>
        <v>0</v>
      </c>
      <c r="D16" s="315">
        <f>SUM(D17:D18)</f>
        <v>0</v>
      </c>
      <c r="E16" s="315">
        <f>SUM(E17:E18)</f>
        <v>0</v>
      </c>
      <c r="F16" s="69"/>
      <c r="G16" s="70"/>
    </row>
    <row r="17" spans="1:10" x14ac:dyDescent="0.2">
      <c r="A17" s="43" t="s">
        <v>221</v>
      </c>
      <c r="B17" s="316">
        <v>0</v>
      </c>
      <c r="C17" s="316">
        <v>0</v>
      </c>
      <c r="D17" s="316">
        <v>0</v>
      </c>
      <c r="E17" s="316">
        <v>0</v>
      </c>
      <c r="F17" s="71"/>
      <c r="G17" s="72"/>
    </row>
    <row r="18" spans="1:10" s="101" customFormat="1" x14ac:dyDescent="0.2">
      <c r="A18" s="43" t="s">
        <v>300</v>
      </c>
      <c r="B18" s="316">
        <v>0</v>
      </c>
      <c r="C18" s="316">
        <v>0</v>
      </c>
      <c r="D18" s="316">
        <v>0</v>
      </c>
      <c r="E18" s="316">
        <v>0</v>
      </c>
      <c r="F18" s="71"/>
      <c r="G18" s="72"/>
      <c r="J18" s="248"/>
    </row>
    <row r="19" spans="1:10" x14ac:dyDescent="0.2">
      <c r="A19" s="41" t="s">
        <v>17</v>
      </c>
      <c r="B19" s="317">
        <f>B20</f>
        <v>0</v>
      </c>
      <c r="C19" s="317">
        <f>C20</f>
        <v>6500</v>
      </c>
      <c r="D19" s="317">
        <f>D20</f>
        <v>6500</v>
      </c>
      <c r="E19" s="317">
        <f>E20</f>
        <v>0</v>
      </c>
      <c r="F19" s="73"/>
      <c r="G19" s="74"/>
    </row>
    <row r="20" spans="1:10" x14ac:dyDescent="0.2">
      <c r="A20" s="42" t="s">
        <v>18</v>
      </c>
      <c r="B20" s="316">
        <v>0</v>
      </c>
      <c r="C20" s="316">
        <v>6500</v>
      </c>
      <c r="D20" s="316">
        <v>6500</v>
      </c>
      <c r="E20" s="316">
        <v>0</v>
      </c>
      <c r="F20" s="71"/>
      <c r="G20" s="72"/>
    </row>
    <row r="21" spans="1:10" x14ac:dyDescent="0.2">
      <c r="A21" s="41" t="s">
        <v>19</v>
      </c>
      <c r="B21" s="317">
        <f>B22+B23</f>
        <v>941205.27999999991</v>
      </c>
      <c r="C21" s="317">
        <f>C22+C23</f>
        <v>1975590</v>
      </c>
      <c r="D21" s="317">
        <f>D22+D23</f>
        <v>2134046</v>
      </c>
      <c r="E21" s="317">
        <f>E22+E23</f>
        <v>1037326.28</v>
      </c>
      <c r="F21" s="73"/>
      <c r="G21" s="74"/>
    </row>
    <row r="22" spans="1:10" x14ac:dyDescent="0.2">
      <c r="A22" s="42" t="s">
        <v>20</v>
      </c>
      <c r="B22" s="316">
        <v>941194.19</v>
      </c>
      <c r="C22" s="316">
        <f>1964190+1400</f>
        <v>1965590</v>
      </c>
      <c r="D22" s="316">
        <f>2122646+1400</f>
        <v>2124046</v>
      </c>
      <c r="E22" s="316">
        <v>1037326.28</v>
      </c>
      <c r="F22" s="71"/>
      <c r="G22" s="72"/>
    </row>
    <row r="23" spans="1:10" x14ac:dyDescent="0.2">
      <c r="A23" s="42" t="s">
        <v>21</v>
      </c>
      <c r="B23" s="316">
        <v>11.09</v>
      </c>
      <c r="C23" s="316">
        <v>10000</v>
      </c>
      <c r="D23" s="316">
        <v>10000</v>
      </c>
      <c r="E23" s="316">
        <v>0</v>
      </c>
      <c r="F23" s="71"/>
      <c r="G23" s="72"/>
    </row>
    <row r="24" spans="1:10" x14ac:dyDescent="0.2">
      <c r="A24" s="41" t="s">
        <v>22</v>
      </c>
      <c r="B24" s="317">
        <f>B25</f>
        <v>0</v>
      </c>
      <c r="C24" s="317">
        <f t="shared" ref="C24:E24" si="2">C25</f>
        <v>0</v>
      </c>
      <c r="D24" s="317">
        <f t="shared" si="2"/>
        <v>0</v>
      </c>
      <c r="E24" s="317">
        <f t="shared" si="2"/>
        <v>0</v>
      </c>
      <c r="F24" s="73"/>
      <c r="G24" s="74"/>
    </row>
    <row r="25" spans="1:10" x14ac:dyDescent="0.2">
      <c r="A25" s="42" t="s">
        <v>23</v>
      </c>
      <c r="B25" s="316">
        <v>0</v>
      </c>
      <c r="C25" s="316">
        <v>0</v>
      </c>
      <c r="D25" s="316">
        <v>0</v>
      </c>
      <c r="E25" s="316">
        <v>0</v>
      </c>
      <c r="F25" s="71"/>
      <c r="G25" s="72"/>
    </row>
    <row r="26" spans="1:10" x14ac:dyDescent="0.2">
      <c r="A26" s="41" t="s">
        <v>24</v>
      </c>
      <c r="B26" s="317">
        <f>B27</f>
        <v>40035.08</v>
      </c>
      <c r="C26" s="317">
        <f>C27</f>
        <v>60000</v>
      </c>
      <c r="D26" s="317">
        <f>D27</f>
        <v>65534</v>
      </c>
      <c r="E26" s="317">
        <f>E27</f>
        <v>33793.800000000003</v>
      </c>
      <c r="F26" s="73"/>
      <c r="G26" s="74"/>
    </row>
    <row r="27" spans="1:10" ht="25.9" customHeight="1" x14ac:dyDescent="0.2">
      <c r="A27" s="56" t="s">
        <v>25</v>
      </c>
      <c r="B27" s="53">
        <v>40035.08</v>
      </c>
      <c r="C27" s="53">
        <v>60000</v>
      </c>
      <c r="D27" s="53">
        <v>65534</v>
      </c>
      <c r="E27" s="53">
        <v>33793.800000000003</v>
      </c>
      <c r="F27" s="75"/>
      <c r="G27" s="76"/>
    </row>
    <row r="28" spans="1:10" x14ac:dyDescent="0.2">
      <c r="A28" s="50" t="s">
        <v>26</v>
      </c>
      <c r="B28" s="318">
        <f t="shared" ref="B28:E29" si="3">B29</f>
        <v>0</v>
      </c>
      <c r="C28" s="318">
        <f t="shared" si="3"/>
        <v>30</v>
      </c>
      <c r="D28" s="318">
        <f t="shared" si="3"/>
        <v>30</v>
      </c>
      <c r="E28" s="318">
        <f t="shared" si="3"/>
        <v>0</v>
      </c>
      <c r="F28" s="77">
        <v>0</v>
      </c>
      <c r="G28" s="78">
        <f t="shared" si="1"/>
        <v>0</v>
      </c>
    </row>
    <row r="29" spans="1:10" x14ac:dyDescent="0.2">
      <c r="A29" s="47" t="s">
        <v>27</v>
      </c>
      <c r="B29" s="315">
        <f t="shared" si="3"/>
        <v>0</v>
      </c>
      <c r="C29" s="315">
        <f t="shared" si="3"/>
        <v>30</v>
      </c>
      <c r="D29" s="315">
        <f t="shared" si="3"/>
        <v>30</v>
      </c>
      <c r="E29" s="315">
        <f t="shared" si="3"/>
        <v>0</v>
      </c>
      <c r="F29" s="69"/>
      <c r="G29" s="70"/>
    </row>
    <row r="30" spans="1:10" x14ac:dyDescent="0.2">
      <c r="A30" s="57" t="s">
        <v>222</v>
      </c>
      <c r="B30" s="53">
        <v>0</v>
      </c>
      <c r="C30" s="53">
        <v>30</v>
      </c>
      <c r="D30" s="53">
        <v>30</v>
      </c>
      <c r="E30" s="53">
        <v>0</v>
      </c>
      <c r="F30" s="75"/>
      <c r="G30" s="76"/>
    </row>
    <row r="31" spans="1:10" ht="25.9" customHeight="1" x14ac:dyDescent="0.2">
      <c r="A31" s="58" t="s">
        <v>28</v>
      </c>
      <c r="B31" s="318">
        <f t="shared" ref="B31:E32" si="4">B32</f>
        <v>29407.32</v>
      </c>
      <c r="C31" s="318">
        <f t="shared" si="4"/>
        <v>57300</v>
      </c>
      <c r="D31" s="318">
        <f t="shared" si="4"/>
        <v>57300</v>
      </c>
      <c r="E31" s="318">
        <f t="shared" si="4"/>
        <v>33825</v>
      </c>
      <c r="F31" s="77">
        <f t="shared" si="0"/>
        <v>115.0223821823954</v>
      </c>
      <c r="G31" s="78">
        <f t="shared" si="1"/>
        <v>59.031413612565444</v>
      </c>
    </row>
    <row r="32" spans="1:10" x14ac:dyDescent="0.2">
      <c r="A32" s="47" t="s">
        <v>29</v>
      </c>
      <c r="B32" s="315">
        <f t="shared" si="4"/>
        <v>29407.32</v>
      </c>
      <c r="C32" s="315">
        <f t="shared" si="4"/>
        <v>57300</v>
      </c>
      <c r="D32" s="315">
        <f t="shared" si="4"/>
        <v>57300</v>
      </c>
      <c r="E32" s="315">
        <f t="shared" si="4"/>
        <v>33825</v>
      </c>
      <c r="F32" s="69"/>
      <c r="G32" s="70"/>
    </row>
    <row r="33" spans="1:10" x14ac:dyDescent="0.2">
      <c r="A33" s="49" t="s">
        <v>30</v>
      </c>
      <c r="B33" s="53">
        <v>29407.32</v>
      </c>
      <c r="C33" s="53">
        <v>57300</v>
      </c>
      <c r="D33" s="53">
        <v>57300</v>
      </c>
      <c r="E33" s="53">
        <v>33825</v>
      </c>
      <c r="F33" s="75"/>
      <c r="G33" s="76"/>
    </row>
    <row r="34" spans="1:10" x14ac:dyDescent="0.2">
      <c r="A34" s="59" t="s">
        <v>223</v>
      </c>
      <c r="B34" s="318">
        <f>B35+B37</f>
        <v>11384</v>
      </c>
      <c r="C34" s="318">
        <f>C35+C37</f>
        <v>22000</v>
      </c>
      <c r="D34" s="318">
        <f>D35+D37</f>
        <v>22000</v>
      </c>
      <c r="E34" s="318">
        <f>E35+E37</f>
        <v>9832.2000000000007</v>
      </c>
      <c r="F34" s="77">
        <f t="shared" si="0"/>
        <v>86.368587491215749</v>
      </c>
      <c r="G34" s="78">
        <f t="shared" si="1"/>
        <v>44.691818181818185</v>
      </c>
    </row>
    <row r="35" spans="1:10" x14ac:dyDescent="0.2">
      <c r="A35" s="54" t="s">
        <v>224</v>
      </c>
      <c r="B35" s="315">
        <f>B36</f>
        <v>10334</v>
      </c>
      <c r="C35" s="315">
        <f>C36</f>
        <v>18000</v>
      </c>
      <c r="D35" s="315">
        <f>D36</f>
        <v>18000</v>
      </c>
      <c r="E35" s="315">
        <f>E36</f>
        <v>9532.2000000000007</v>
      </c>
      <c r="F35" s="69"/>
      <c r="G35" s="70"/>
    </row>
    <row r="36" spans="1:10" x14ac:dyDescent="0.2">
      <c r="A36" s="42" t="s">
        <v>31</v>
      </c>
      <c r="B36" s="316">
        <v>10334</v>
      </c>
      <c r="C36" s="316">
        <v>18000</v>
      </c>
      <c r="D36" s="316">
        <v>18000</v>
      </c>
      <c r="E36" s="316">
        <v>9532.2000000000007</v>
      </c>
      <c r="F36" s="71"/>
      <c r="G36" s="72"/>
    </row>
    <row r="37" spans="1:10" x14ac:dyDescent="0.2">
      <c r="A37" s="41" t="s">
        <v>32</v>
      </c>
      <c r="B37" s="317">
        <f>B38+B39</f>
        <v>1050</v>
      </c>
      <c r="C37" s="317">
        <f>C38+C39</f>
        <v>4000</v>
      </c>
      <c r="D37" s="317">
        <f>D38+D39</f>
        <v>4000</v>
      </c>
      <c r="E37" s="317">
        <f>E38+E39</f>
        <v>300</v>
      </c>
      <c r="F37" s="73"/>
      <c r="G37" s="74"/>
    </row>
    <row r="38" spans="1:10" x14ac:dyDescent="0.2">
      <c r="A38" s="42" t="s">
        <v>33</v>
      </c>
      <c r="B38" s="316">
        <v>1050</v>
      </c>
      <c r="C38" s="316">
        <v>4000</v>
      </c>
      <c r="D38" s="316">
        <v>4000</v>
      </c>
      <c r="E38" s="316">
        <v>300</v>
      </c>
      <c r="F38" s="71"/>
      <c r="G38" s="72"/>
    </row>
    <row r="39" spans="1:10" x14ac:dyDescent="0.2">
      <c r="A39" s="49" t="s">
        <v>34</v>
      </c>
      <c r="B39" s="53">
        <v>0</v>
      </c>
      <c r="C39" s="53">
        <v>0</v>
      </c>
      <c r="D39" s="53">
        <v>0</v>
      </c>
      <c r="E39" s="53">
        <v>0</v>
      </c>
      <c r="F39" s="75"/>
      <c r="G39" s="76"/>
    </row>
    <row r="40" spans="1:10" s="9" customFormat="1" x14ac:dyDescent="0.2">
      <c r="A40" s="64" t="s">
        <v>231</v>
      </c>
      <c r="B40" s="318">
        <f>B41</f>
        <v>107211.26</v>
      </c>
      <c r="C40" s="318">
        <f>C41</f>
        <v>284315</v>
      </c>
      <c r="D40" s="318">
        <f>D41</f>
        <v>346906</v>
      </c>
      <c r="E40" s="318">
        <f>E41</f>
        <v>142928.68</v>
      </c>
      <c r="F40" s="79">
        <f t="shared" si="0"/>
        <v>133.31498948897718</v>
      </c>
      <c r="G40" s="80">
        <f t="shared" si="1"/>
        <v>41.200982398690137</v>
      </c>
      <c r="J40" s="248"/>
    </row>
    <row r="41" spans="1:10" s="9" customFormat="1" x14ac:dyDescent="0.2">
      <c r="A41" s="63" t="s">
        <v>232</v>
      </c>
      <c r="B41" s="315">
        <f>B42+B43</f>
        <v>107211.26</v>
      </c>
      <c r="C41" s="315">
        <f>C42+C43</f>
        <v>284315</v>
      </c>
      <c r="D41" s="315">
        <f>D42+D43</f>
        <v>346906</v>
      </c>
      <c r="E41" s="315">
        <f>E42+E43</f>
        <v>142928.68</v>
      </c>
      <c r="F41" s="81"/>
      <c r="G41" s="82"/>
      <c r="J41" s="248"/>
    </row>
    <row r="42" spans="1:10" s="9" customFormat="1" x14ac:dyDescent="0.2">
      <c r="A42" s="44" t="s">
        <v>233</v>
      </c>
      <c r="B42" s="316">
        <v>98916.26</v>
      </c>
      <c r="C42" s="316">
        <f>155435+112360+5440+6080</f>
        <v>279315</v>
      </c>
      <c r="D42" s="316">
        <f>173685+6080+121111+34010+6034</f>
        <v>340920</v>
      </c>
      <c r="E42" s="316">
        <v>141942.29999999999</v>
      </c>
      <c r="F42" s="71"/>
      <c r="G42" s="72"/>
      <c r="J42" s="248"/>
    </row>
    <row r="43" spans="1:10" s="9" customFormat="1" x14ac:dyDescent="0.2">
      <c r="A43" s="62" t="s">
        <v>234</v>
      </c>
      <c r="B43" s="319">
        <v>8295</v>
      </c>
      <c r="C43" s="319">
        <v>5000</v>
      </c>
      <c r="D43" s="319">
        <f>5000+986</f>
        <v>5986</v>
      </c>
      <c r="E43" s="319">
        <v>986.38</v>
      </c>
      <c r="F43" s="83"/>
      <c r="G43" s="84"/>
      <c r="J43" s="248"/>
    </row>
    <row r="44" spans="1:10" x14ac:dyDescent="0.2">
      <c r="A44" s="50" t="s">
        <v>35</v>
      </c>
      <c r="B44" s="318">
        <f t="shared" ref="B44:E45" si="5">B45</f>
        <v>210.03</v>
      </c>
      <c r="C44" s="318">
        <f t="shared" si="5"/>
        <v>500</v>
      </c>
      <c r="D44" s="318">
        <f t="shared" si="5"/>
        <v>500</v>
      </c>
      <c r="E44" s="318">
        <f t="shared" si="5"/>
        <v>37.19</v>
      </c>
      <c r="F44" s="77">
        <f>E44/B44*100</f>
        <v>17.706994238918249</v>
      </c>
      <c r="G44" s="78">
        <f t="shared" si="1"/>
        <v>7.4380000000000006</v>
      </c>
    </row>
    <row r="45" spans="1:10" x14ac:dyDescent="0.2">
      <c r="A45" s="159" t="s">
        <v>36</v>
      </c>
      <c r="B45" s="320">
        <f t="shared" si="5"/>
        <v>210.03</v>
      </c>
      <c r="C45" s="320">
        <f t="shared" si="5"/>
        <v>500</v>
      </c>
      <c r="D45" s="320">
        <f t="shared" si="5"/>
        <v>500</v>
      </c>
      <c r="E45" s="320">
        <f t="shared" si="5"/>
        <v>37.19</v>
      </c>
      <c r="F45" s="160"/>
      <c r="G45" s="161"/>
    </row>
    <row r="46" spans="1:10" ht="13.5" thickBot="1" x14ac:dyDescent="0.25">
      <c r="A46" s="217" t="s">
        <v>37</v>
      </c>
      <c r="B46" s="321">
        <v>210.03</v>
      </c>
      <c r="C46" s="321">
        <v>500</v>
      </c>
      <c r="D46" s="321">
        <v>500</v>
      </c>
      <c r="E46" s="321">
        <v>37.19</v>
      </c>
      <c r="F46" s="211"/>
      <c r="G46" s="212"/>
    </row>
    <row r="47" spans="1:10" s="176" customFormat="1" ht="18" customHeight="1" thickBot="1" x14ac:dyDescent="0.25">
      <c r="A47" s="213" t="s">
        <v>285</v>
      </c>
      <c r="B47" s="214">
        <f>B48</f>
        <v>0</v>
      </c>
      <c r="C47" s="214">
        <f t="shared" ref="C47:F49" si="6">C48</f>
        <v>0</v>
      </c>
      <c r="D47" s="214">
        <f t="shared" si="6"/>
        <v>0</v>
      </c>
      <c r="E47" s="214">
        <f t="shared" si="6"/>
        <v>0</v>
      </c>
      <c r="F47" s="215">
        <v>0</v>
      </c>
      <c r="G47" s="216">
        <v>0</v>
      </c>
      <c r="J47" s="254"/>
    </row>
    <row r="48" spans="1:10" s="101" customFormat="1" x14ac:dyDescent="0.2">
      <c r="A48" s="208" t="s">
        <v>286</v>
      </c>
      <c r="B48" s="314">
        <f>B49</f>
        <v>0</v>
      </c>
      <c r="C48" s="314">
        <f t="shared" si="6"/>
        <v>0</v>
      </c>
      <c r="D48" s="314">
        <f t="shared" si="6"/>
        <v>0</v>
      </c>
      <c r="E48" s="314">
        <f t="shared" si="6"/>
        <v>0</v>
      </c>
      <c r="F48" s="67">
        <v>0</v>
      </c>
      <c r="G48" s="68">
        <v>0</v>
      </c>
      <c r="J48" s="248"/>
    </row>
    <row r="49" spans="1:10" s="101" customFormat="1" x14ac:dyDescent="0.2">
      <c r="A49" s="209" t="s">
        <v>287</v>
      </c>
      <c r="B49" s="315">
        <f>B50</f>
        <v>0</v>
      </c>
      <c r="C49" s="315">
        <f t="shared" si="6"/>
        <v>0</v>
      </c>
      <c r="D49" s="315">
        <f t="shared" si="6"/>
        <v>0</v>
      </c>
      <c r="E49" s="315">
        <f t="shared" si="6"/>
        <v>0</v>
      </c>
      <c r="F49" s="69"/>
      <c r="G49" s="70"/>
      <c r="J49" s="248"/>
    </row>
    <row r="50" spans="1:10" s="101" customFormat="1" ht="13.5" thickBot="1" x14ac:dyDescent="0.25">
      <c r="A50" s="210" t="s">
        <v>288</v>
      </c>
      <c r="B50" s="321">
        <v>0</v>
      </c>
      <c r="C50" s="321">
        <v>0</v>
      </c>
      <c r="D50" s="321">
        <v>0</v>
      </c>
      <c r="E50" s="321">
        <v>0</v>
      </c>
      <c r="F50" s="211"/>
      <c r="G50" s="212"/>
      <c r="J50" s="248"/>
    </row>
    <row r="51" spans="1:10" s="171" customFormat="1" ht="21.75" customHeight="1" thickBot="1" x14ac:dyDescent="0.25">
      <c r="A51" s="167" t="s">
        <v>239</v>
      </c>
      <c r="B51" s="168">
        <f>B52+B105</f>
        <v>1323881.8899999999</v>
      </c>
      <c r="C51" s="168">
        <f>C52+C105</f>
        <v>2406235</v>
      </c>
      <c r="D51" s="168">
        <f>D52+D105</f>
        <v>2434821</v>
      </c>
      <c r="E51" s="168">
        <f>E52+E105</f>
        <v>1245080.2799999996</v>
      </c>
      <c r="F51" s="169"/>
      <c r="G51" s="170"/>
      <c r="J51" s="255"/>
    </row>
    <row r="52" spans="1:10" ht="18" customHeight="1" x14ac:dyDescent="0.2">
      <c r="A52" s="60" t="s">
        <v>12</v>
      </c>
      <c r="B52" s="322">
        <f>B53+B62+B93+B97+B100</f>
        <v>1315899.93</v>
      </c>
      <c r="C52" s="322">
        <f>C53+C62+C93+C97+C100</f>
        <v>2391235</v>
      </c>
      <c r="D52" s="322">
        <f>D53+D62+D93+D97+D100</f>
        <v>2416596</v>
      </c>
      <c r="E52" s="322">
        <f>E53+E62+E93+E97+E100</f>
        <v>1243073.6499999997</v>
      </c>
      <c r="F52" s="85">
        <f t="shared" si="0"/>
        <v>94.465667309519489</v>
      </c>
      <c r="G52" s="86">
        <f t="shared" si="1"/>
        <v>51.439034493146544</v>
      </c>
    </row>
    <row r="53" spans="1:10" x14ac:dyDescent="0.2">
      <c r="A53" s="50" t="s">
        <v>38</v>
      </c>
      <c r="B53" s="318">
        <f>B54+B58+B60</f>
        <v>1145082.46</v>
      </c>
      <c r="C53" s="318">
        <f>C54+C58+C60</f>
        <v>2005475</v>
      </c>
      <c r="D53" s="318">
        <f>D54+D58+D60</f>
        <v>2017625</v>
      </c>
      <c r="E53" s="318">
        <f>E54+E58+E60</f>
        <v>1082334.93</v>
      </c>
      <c r="F53" s="77">
        <f t="shared" si="0"/>
        <v>94.520261012468922</v>
      </c>
      <c r="G53" s="78">
        <f t="shared" si="1"/>
        <v>53.644008673564215</v>
      </c>
    </row>
    <row r="54" spans="1:10" x14ac:dyDescent="0.2">
      <c r="A54" s="47" t="s">
        <v>39</v>
      </c>
      <c r="B54" s="315">
        <f>SUM(B55:B57)</f>
        <v>962321.99</v>
      </c>
      <c r="C54" s="315">
        <f>SUM(C55:C57)</f>
        <v>1659335</v>
      </c>
      <c r="D54" s="315">
        <f>SUM(D55:D57)</f>
        <v>1668385</v>
      </c>
      <c r="E54" s="315">
        <f>SUM(E55:E57)</f>
        <v>899056.26</v>
      </c>
      <c r="F54" s="69"/>
      <c r="G54" s="70"/>
    </row>
    <row r="55" spans="1:10" x14ac:dyDescent="0.2">
      <c r="A55" s="42" t="s">
        <v>40</v>
      </c>
      <c r="B55" s="316">
        <v>898394.84</v>
      </c>
      <c r="C55" s="316">
        <f>94455+20200+5300+1405000+6080+43300</f>
        <v>1574335</v>
      </c>
      <c r="D55" s="316">
        <f>103505+20200+5300+1405000+6080+43300</f>
        <v>1583385</v>
      </c>
      <c r="E55" s="316">
        <v>837220.97</v>
      </c>
      <c r="F55" s="71"/>
      <c r="G55" s="72"/>
    </row>
    <row r="56" spans="1:10" x14ac:dyDescent="0.2">
      <c r="A56" s="42" t="s">
        <v>41</v>
      </c>
      <c r="B56" s="316">
        <v>29787.97</v>
      </c>
      <c r="C56" s="316">
        <f>37000</f>
        <v>37000</v>
      </c>
      <c r="D56" s="316">
        <f>37000</f>
        <v>37000</v>
      </c>
      <c r="E56" s="316">
        <v>28808.03</v>
      </c>
      <c r="F56" s="71"/>
      <c r="G56" s="72"/>
    </row>
    <row r="57" spans="1:10" x14ac:dyDescent="0.2">
      <c r="A57" s="42" t="s">
        <v>42</v>
      </c>
      <c r="B57" s="316">
        <v>34139.18</v>
      </c>
      <c r="C57" s="316">
        <f>48000</f>
        <v>48000</v>
      </c>
      <c r="D57" s="316">
        <f>48000</f>
        <v>48000</v>
      </c>
      <c r="E57" s="316">
        <v>33027.26</v>
      </c>
      <c r="F57" s="71"/>
      <c r="G57" s="72"/>
    </row>
    <row r="58" spans="1:10" x14ac:dyDescent="0.2">
      <c r="A58" s="41" t="s">
        <v>43</v>
      </c>
      <c r="B58" s="317">
        <f>B59</f>
        <v>33449.440000000002</v>
      </c>
      <c r="C58" s="317">
        <f>C59</f>
        <v>78100</v>
      </c>
      <c r="D58" s="317">
        <f>D59</f>
        <v>79700</v>
      </c>
      <c r="E58" s="317">
        <f>E59</f>
        <v>39573.86</v>
      </c>
      <c r="F58" s="73"/>
      <c r="G58" s="74"/>
    </row>
    <row r="59" spans="1:10" x14ac:dyDescent="0.2">
      <c r="A59" s="42" t="s">
        <v>44</v>
      </c>
      <c r="B59" s="316">
        <v>33449.440000000002</v>
      </c>
      <c r="C59" s="316">
        <f>3900+500+69700+4000</f>
        <v>78100</v>
      </c>
      <c r="D59" s="316">
        <f>5500+500+69700+4000</f>
        <v>79700</v>
      </c>
      <c r="E59" s="316">
        <v>39573.86</v>
      </c>
      <c r="F59" s="71"/>
      <c r="G59" s="72"/>
    </row>
    <row r="60" spans="1:10" x14ac:dyDescent="0.2">
      <c r="A60" s="41" t="s">
        <v>45</v>
      </c>
      <c r="B60" s="317">
        <f>SUM(B61:B61)</f>
        <v>149311.03</v>
      </c>
      <c r="C60" s="317">
        <f>SUM(C61:C61)</f>
        <v>268040</v>
      </c>
      <c r="D60" s="317">
        <f>SUM(D61:D61)</f>
        <v>269540</v>
      </c>
      <c r="E60" s="317">
        <f>SUM(E61:E61)</f>
        <v>143704.81</v>
      </c>
      <c r="F60" s="73"/>
      <c r="G60" s="74"/>
    </row>
    <row r="61" spans="1:10" x14ac:dyDescent="0.2">
      <c r="A61" s="42" t="s">
        <v>46</v>
      </c>
      <c r="B61" s="316">
        <v>149311.03</v>
      </c>
      <c r="C61" s="316">
        <f>15640+3300+900+240000+8200</f>
        <v>268040</v>
      </c>
      <c r="D61" s="316">
        <f>17140+3300+900+240000+8200</f>
        <v>269540</v>
      </c>
      <c r="E61" s="316">
        <v>143704.81</v>
      </c>
      <c r="F61" s="71"/>
      <c r="G61" s="72"/>
    </row>
    <row r="62" spans="1:10" x14ac:dyDescent="0.2">
      <c r="A62" s="50" t="s">
        <v>47</v>
      </c>
      <c r="B62" s="318">
        <f>B63+B68+B75+B85+B87</f>
        <v>168098.96000000002</v>
      </c>
      <c r="C62" s="318">
        <f>C63+C68+C75+C85+C87</f>
        <v>314800</v>
      </c>
      <c r="D62" s="318">
        <f>D63+D68+D75+D85+D87</f>
        <v>327801</v>
      </c>
      <c r="E62" s="318">
        <f>E63+E68+E75+E85+E87</f>
        <v>158197.18999999997</v>
      </c>
      <c r="F62" s="77">
        <f t="shared" si="0"/>
        <v>94.109559035939284</v>
      </c>
      <c r="G62" s="78">
        <f t="shared" si="1"/>
        <v>48.260130383982954</v>
      </c>
    </row>
    <row r="63" spans="1:10" x14ac:dyDescent="0.2">
      <c r="A63" s="47" t="s">
        <v>48</v>
      </c>
      <c r="B63" s="315">
        <f>SUM(B64:B67)</f>
        <v>22688.940000000002</v>
      </c>
      <c r="C63" s="315">
        <f>SUM(C64:C67)</f>
        <v>45450</v>
      </c>
      <c r="D63" s="315">
        <f>SUM(D64:D67)</f>
        <v>46124</v>
      </c>
      <c r="E63" s="315">
        <f>SUM(E64:E67)</f>
        <v>20974.309999999998</v>
      </c>
      <c r="F63" s="69"/>
      <c r="G63" s="70"/>
    </row>
    <row r="64" spans="1:10" x14ac:dyDescent="0.2">
      <c r="A64" s="42" t="s">
        <v>49</v>
      </c>
      <c r="B64" s="316">
        <v>7284.57</v>
      </c>
      <c r="C64" s="316">
        <f>180+260+1100+13000+300</f>
        <v>14840</v>
      </c>
      <c r="D64" s="316">
        <f>180+260+1100+13000+300</f>
        <v>14840</v>
      </c>
      <c r="E64" s="316">
        <v>3947.68</v>
      </c>
      <c r="F64" s="71"/>
      <c r="G64" s="72"/>
    </row>
    <row r="65" spans="1:7" x14ac:dyDescent="0.2">
      <c r="A65" s="42" t="s">
        <v>50</v>
      </c>
      <c r="B65" s="316">
        <v>14088.37</v>
      </c>
      <c r="C65" s="316">
        <f>5760+300+17500+4200</f>
        <v>27760</v>
      </c>
      <c r="D65" s="316">
        <f>6360+300+17500+4200</f>
        <v>28360</v>
      </c>
      <c r="E65" s="316">
        <v>15926.13</v>
      </c>
      <c r="F65" s="71"/>
      <c r="G65" s="72"/>
    </row>
    <row r="66" spans="1:7" x14ac:dyDescent="0.2">
      <c r="A66" s="42" t="s">
        <v>51</v>
      </c>
      <c r="B66" s="316">
        <v>755</v>
      </c>
      <c r="C66" s="316">
        <f>50+1500</f>
        <v>1550</v>
      </c>
      <c r="D66" s="316">
        <f>124+1500</f>
        <v>1624</v>
      </c>
      <c r="E66" s="316">
        <v>512.5</v>
      </c>
      <c r="F66" s="71"/>
      <c r="G66" s="72"/>
    </row>
    <row r="67" spans="1:7" x14ac:dyDescent="0.2">
      <c r="A67" s="42" t="s">
        <v>52</v>
      </c>
      <c r="B67" s="316">
        <v>561</v>
      </c>
      <c r="C67" s="316">
        <f>1300</f>
        <v>1300</v>
      </c>
      <c r="D67" s="316">
        <f>1300</f>
        <v>1300</v>
      </c>
      <c r="E67" s="316">
        <v>588</v>
      </c>
      <c r="F67" s="71"/>
      <c r="G67" s="72"/>
    </row>
    <row r="68" spans="1:7" x14ac:dyDescent="0.2">
      <c r="A68" s="41" t="s">
        <v>53</v>
      </c>
      <c r="B68" s="317">
        <f>SUM(B69:B74)</f>
        <v>112227.41999999998</v>
      </c>
      <c r="C68" s="317">
        <f>SUM(C69:C74)</f>
        <v>210130</v>
      </c>
      <c r="D68" s="317">
        <f>SUM(D69:D74)</f>
        <v>211774</v>
      </c>
      <c r="E68" s="317">
        <f>SUM(E69:E74)</f>
        <v>112303.81</v>
      </c>
      <c r="F68" s="73"/>
      <c r="G68" s="74"/>
    </row>
    <row r="69" spans="1:7" x14ac:dyDescent="0.2">
      <c r="A69" s="42" t="s">
        <v>54</v>
      </c>
      <c r="B69" s="316">
        <v>11218.04</v>
      </c>
      <c r="C69" s="316">
        <f>3500+3000+450+200+100+15350</f>
        <v>22600</v>
      </c>
      <c r="D69" s="316">
        <f>3500+2990+450+200+384+15350</f>
        <v>22874</v>
      </c>
      <c r="E69" s="316">
        <v>12716.84</v>
      </c>
      <c r="F69" s="71"/>
      <c r="G69" s="72"/>
    </row>
    <row r="70" spans="1:7" x14ac:dyDescent="0.2">
      <c r="A70" s="42" t="s">
        <v>55</v>
      </c>
      <c r="B70" s="316">
        <v>79830.11</v>
      </c>
      <c r="C70" s="316">
        <f>30500+6000+800+108900</f>
        <v>146200</v>
      </c>
      <c r="D70" s="316">
        <f>30500+6716+800+108900</f>
        <v>146916</v>
      </c>
      <c r="E70" s="316">
        <v>79671.789999999994</v>
      </c>
      <c r="F70" s="71"/>
      <c r="G70" s="72"/>
    </row>
    <row r="71" spans="1:7" x14ac:dyDescent="0.2">
      <c r="A71" s="42" t="s">
        <v>56</v>
      </c>
      <c r="B71" s="316">
        <v>17388.39</v>
      </c>
      <c r="C71" s="316">
        <f>9840+18900+5440</f>
        <v>34180</v>
      </c>
      <c r="D71" s="316">
        <f>9840+18249+5440</f>
        <v>33529</v>
      </c>
      <c r="E71" s="316">
        <v>18290.48</v>
      </c>
      <c r="F71" s="71"/>
      <c r="G71" s="72"/>
    </row>
    <row r="72" spans="1:7" x14ac:dyDescent="0.2">
      <c r="A72" s="42" t="s">
        <v>57</v>
      </c>
      <c r="B72" s="316">
        <v>2879.98</v>
      </c>
      <c r="C72" s="316">
        <f>2950</f>
        <v>2950</v>
      </c>
      <c r="D72" s="316">
        <f>305+2950</f>
        <v>3255</v>
      </c>
      <c r="E72" s="316">
        <v>1068.21</v>
      </c>
      <c r="F72" s="71"/>
      <c r="G72" s="72"/>
    </row>
    <row r="73" spans="1:7" x14ac:dyDescent="0.2">
      <c r="A73" s="42" t="s">
        <v>58</v>
      </c>
      <c r="B73" s="316">
        <v>910.9</v>
      </c>
      <c r="C73" s="316">
        <f>500+200+1800</f>
        <v>2500</v>
      </c>
      <c r="D73" s="316">
        <f>500+1000+200+1800</f>
        <v>3500</v>
      </c>
      <c r="E73" s="316">
        <v>245</v>
      </c>
      <c r="F73" s="71"/>
      <c r="G73" s="72"/>
    </row>
    <row r="74" spans="1:7" x14ac:dyDescent="0.2">
      <c r="A74" s="42" t="s">
        <v>59</v>
      </c>
      <c r="B74" s="316">
        <v>0</v>
      </c>
      <c r="C74" s="316">
        <f>400+1300</f>
        <v>1700</v>
      </c>
      <c r="D74" s="316">
        <f>400+1300</f>
        <v>1700</v>
      </c>
      <c r="E74" s="316">
        <v>311.49</v>
      </c>
      <c r="F74" s="71"/>
      <c r="G74" s="72"/>
    </row>
    <row r="75" spans="1:7" x14ac:dyDescent="0.2">
      <c r="A75" s="41" t="s">
        <v>60</v>
      </c>
      <c r="B75" s="317">
        <f>SUM(B76:B84)</f>
        <v>22673.830000000005</v>
      </c>
      <c r="C75" s="317">
        <f>SUM(C76:C84)</f>
        <v>45580</v>
      </c>
      <c r="D75" s="317">
        <f>SUM(D76:D84)</f>
        <v>56012</v>
      </c>
      <c r="E75" s="317">
        <f>SUM(E76:E84)</f>
        <v>15098.579999999998</v>
      </c>
      <c r="F75" s="73"/>
      <c r="G75" s="74"/>
    </row>
    <row r="76" spans="1:7" x14ac:dyDescent="0.2">
      <c r="A76" s="42" t="s">
        <v>61</v>
      </c>
      <c r="B76" s="316">
        <v>2361.67</v>
      </c>
      <c r="C76" s="316">
        <f>1000+1200+4200</f>
        <v>6400</v>
      </c>
      <c r="D76" s="316">
        <f>1000+1200+4200</f>
        <v>6400</v>
      </c>
      <c r="E76" s="316">
        <v>1264.77</v>
      </c>
      <c r="F76" s="71"/>
      <c r="G76" s="72"/>
    </row>
    <row r="77" spans="1:7" x14ac:dyDescent="0.2">
      <c r="A77" s="42" t="s">
        <v>62</v>
      </c>
      <c r="B77" s="316">
        <v>10496.57</v>
      </c>
      <c r="C77" s="316">
        <f>630+14000</f>
        <v>14630</v>
      </c>
      <c r="D77" s="316">
        <f>5500+1851+17311</f>
        <v>24662</v>
      </c>
      <c r="E77" s="316">
        <v>4759.29</v>
      </c>
      <c r="F77" s="71"/>
      <c r="G77" s="72"/>
    </row>
    <row r="78" spans="1:7" x14ac:dyDescent="0.2">
      <c r="A78" s="42" t="s">
        <v>63</v>
      </c>
      <c r="B78" s="316">
        <v>39.69</v>
      </c>
      <c r="C78" s="316">
        <f>290</f>
        <v>290</v>
      </c>
      <c r="D78" s="316">
        <f>290</f>
        <v>290</v>
      </c>
      <c r="E78" s="316">
        <v>39.69</v>
      </c>
      <c r="F78" s="71"/>
      <c r="G78" s="72"/>
    </row>
    <row r="79" spans="1:7" x14ac:dyDescent="0.2">
      <c r="A79" s="42" t="s">
        <v>64</v>
      </c>
      <c r="B79" s="316">
        <v>3902.81</v>
      </c>
      <c r="C79" s="316">
        <f>8240</f>
        <v>8240</v>
      </c>
      <c r="D79" s="316">
        <f>8240</f>
        <v>8240</v>
      </c>
      <c r="E79" s="316">
        <v>4825.3500000000004</v>
      </c>
      <c r="F79" s="71"/>
      <c r="G79" s="72"/>
    </row>
    <row r="80" spans="1:7" x14ac:dyDescent="0.2">
      <c r="A80" s="42" t="s">
        <v>65</v>
      </c>
      <c r="B80" s="316">
        <v>643.9</v>
      </c>
      <c r="C80" s="316">
        <f>790</f>
        <v>790</v>
      </c>
      <c r="D80" s="316">
        <f>790</f>
        <v>790</v>
      </c>
      <c r="E80" s="316">
        <v>418.9</v>
      </c>
      <c r="F80" s="71"/>
      <c r="G80" s="72"/>
    </row>
    <row r="81" spans="1:10" x14ac:dyDescent="0.2">
      <c r="A81" s="42" t="s">
        <v>66</v>
      </c>
      <c r="B81" s="316">
        <v>211.9</v>
      </c>
      <c r="C81" s="316">
        <f>4110</f>
        <v>4110</v>
      </c>
      <c r="D81" s="316">
        <f>4260</f>
        <v>4260</v>
      </c>
      <c r="E81" s="316">
        <v>211.9</v>
      </c>
      <c r="F81" s="71"/>
      <c r="G81" s="72"/>
    </row>
    <row r="82" spans="1:10" x14ac:dyDescent="0.2">
      <c r="A82" s="42" t="s">
        <v>67</v>
      </c>
      <c r="B82" s="316">
        <v>62.5</v>
      </c>
      <c r="C82" s="316">
        <f>50+80+390</f>
        <v>520</v>
      </c>
      <c r="D82" s="316">
        <f>50+80+2640</f>
        <v>2770</v>
      </c>
      <c r="E82" s="316">
        <v>445</v>
      </c>
      <c r="F82" s="71"/>
      <c r="G82" s="72"/>
    </row>
    <row r="83" spans="1:10" x14ac:dyDescent="0.2">
      <c r="A83" s="42" t="s">
        <v>68</v>
      </c>
      <c r="B83" s="316">
        <v>592.91</v>
      </c>
      <c r="C83" s="316">
        <f>4080</f>
        <v>4080</v>
      </c>
      <c r="D83" s="316">
        <f>2080</f>
        <v>2080</v>
      </c>
      <c r="E83" s="316">
        <v>682.93</v>
      </c>
      <c r="F83" s="71"/>
      <c r="G83" s="72"/>
    </row>
    <row r="84" spans="1:10" x14ac:dyDescent="0.2">
      <c r="A84" s="42" t="s">
        <v>69</v>
      </c>
      <c r="B84" s="316">
        <v>4361.88</v>
      </c>
      <c r="C84" s="316">
        <f>50+200+6270</f>
        <v>6520</v>
      </c>
      <c r="D84" s="316">
        <f>50+200+6270</f>
        <v>6520</v>
      </c>
      <c r="E84" s="316">
        <v>2450.75</v>
      </c>
      <c r="F84" s="71"/>
      <c r="G84" s="72"/>
    </row>
    <row r="85" spans="1:10" x14ac:dyDescent="0.2">
      <c r="A85" s="48" t="s">
        <v>225</v>
      </c>
      <c r="B85" s="317">
        <f>B86</f>
        <v>25.6</v>
      </c>
      <c r="C85" s="317">
        <f>C86</f>
        <v>1260</v>
      </c>
      <c r="D85" s="317">
        <f>D86</f>
        <v>1260</v>
      </c>
      <c r="E85" s="317">
        <f>E86</f>
        <v>0</v>
      </c>
      <c r="F85" s="73"/>
      <c r="G85" s="74"/>
    </row>
    <row r="86" spans="1:10" x14ac:dyDescent="0.2">
      <c r="A86" s="43" t="s">
        <v>226</v>
      </c>
      <c r="B86" s="316">
        <v>25.6</v>
      </c>
      <c r="C86" s="316">
        <f>200+1000+60</f>
        <v>1260</v>
      </c>
      <c r="D86" s="316">
        <f>200+1000+60</f>
        <v>1260</v>
      </c>
      <c r="E86" s="316">
        <v>0</v>
      </c>
      <c r="F86" s="71"/>
      <c r="G86" s="72"/>
    </row>
    <row r="87" spans="1:10" x14ac:dyDescent="0.2">
      <c r="A87" s="41" t="s">
        <v>70</v>
      </c>
      <c r="B87" s="317">
        <f>SUM(B88:B92)</f>
        <v>10483.17</v>
      </c>
      <c r="C87" s="317">
        <f>SUM(C88:C92)</f>
        <v>12380</v>
      </c>
      <c r="D87" s="317">
        <f>SUM(D88:D92)</f>
        <v>12631</v>
      </c>
      <c r="E87" s="317">
        <f>SUM(E88:E92)</f>
        <v>9820.49</v>
      </c>
      <c r="F87" s="73"/>
      <c r="G87" s="74"/>
    </row>
    <row r="88" spans="1:10" x14ac:dyDescent="0.2">
      <c r="A88" s="43" t="s">
        <v>227</v>
      </c>
      <c r="B88" s="316">
        <v>6842.74</v>
      </c>
      <c r="C88" s="316">
        <v>6850</v>
      </c>
      <c r="D88" s="316">
        <f>7101</f>
        <v>7101</v>
      </c>
      <c r="E88" s="316">
        <v>7100.79</v>
      </c>
      <c r="F88" s="71"/>
      <c r="G88" s="72"/>
    </row>
    <row r="89" spans="1:10" x14ac:dyDescent="0.2">
      <c r="A89" s="42" t="s">
        <v>71</v>
      </c>
      <c r="B89" s="316">
        <v>823.72</v>
      </c>
      <c r="C89" s="316">
        <f>1000+50+1000</f>
        <v>2050</v>
      </c>
      <c r="D89" s="316">
        <f>1000+50+1000</f>
        <v>2050</v>
      </c>
      <c r="E89" s="316">
        <v>1062.5999999999999</v>
      </c>
      <c r="F89" s="71"/>
      <c r="G89" s="72"/>
    </row>
    <row r="90" spans="1:10" x14ac:dyDescent="0.2">
      <c r="A90" s="42" t="s">
        <v>72</v>
      </c>
      <c r="B90" s="316">
        <v>150</v>
      </c>
      <c r="C90" s="316">
        <v>190</v>
      </c>
      <c r="D90" s="316">
        <f>190</f>
        <v>190</v>
      </c>
      <c r="E90" s="316">
        <v>165</v>
      </c>
      <c r="F90" s="71"/>
      <c r="G90" s="72"/>
    </row>
    <row r="91" spans="1:10" x14ac:dyDescent="0.2">
      <c r="A91" s="42" t="s">
        <v>73</v>
      </c>
      <c r="B91" s="316">
        <v>0</v>
      </c>
      <c r="C91" s="316">
        <v>240</v>
      </c>
      <c r="D91" s="316">
        <f>240</f>
        <v>240</v>
      </c>
      <c r="E91" s="316">
        <v>146.9</v>
      </c>
      <c r="F91" s="71"/>
      <c r="G91" s="72"/>
    </row>
    <row r="92" spans="1:10" x14ac:dyDescent="0.2">
      <c r="A92" s="49" t="s">
        <v>74</v>
      </c>
      <c r="B92" s="53">
        <v>2666.71</v>
      </c>
      <c r="C92" s="53">
        <f>50+3000</f>
        <v>3050</v>
      </c>
      <c r="D92" s="53">
        <f>50+3000</f>
        <v>3050</v>
      </c>
      <c r="E92" s="53">
        <v>1345.2</v>
      </c>
      <c r="F92" s="75"/>
      <c r="G92" s="76"/>
    </row>
    <row r="93" spans="1:10" x14ac:dyDescent="0.2">
      <c r="A93" s="50" t="s">
        <v>75</v>
      </c>
      <c r="B93" s="318">
        <f>B94</f>
        <v>1667.1</v>
      </c>
      <c r="C93" s="318">
        <f>C94</f>
        <v>2550</v>
      </c>
      <c r="D93" s="318">
        <f>D94</f>
        <v>2560</v>
      </c>
      <c r="E93" s="318">
        <f>E94</f>
        <v>1543.39</v>
      </c>
      <c r="F93" s="77">
        <f t="shared" ref="F93:F106" si="7">E93/B93*100</f>
        <v>92.579329374362672</v>
      </c>
      <c r="G93" s="78">
        <f t="shared" ref="G93:G106" si="8">E93/D93*100</f>
        <v>60.288671874999999</v>
      </c>
    </row>
    <row r="94" spans="1:10" x14ac:dyDescent="0.2">
      <c r="A94" s="47" t="s">
        <v>76</v>
      </c>
      <c r="B94" s="315">
        <f>SUM(B95:B96)</f>
        <v>1667.1</v>
      </c>
      <c r="C94" s="315">
        <f t="shared" ref="C94:E94" si="9">SUM(C95:C96)</f>
        <v>2550</v>
      </c>
      <c r="D94" s="315">
        <f t="shared" si="9"/>
        <v>2560</v>
      </c>
      <c r="E94" s="315">
        <f t="shared" si="9"/>
        <v>1543.39</v>
      </c>
      <c r="F94" s="69"/>
      <c r="G94" s="70"/>
    </row>
    <row r="95" spans="1:10" s="101" customFormat="1" x14ac:dyDescent="0.2">
      <c r="A95" s="42" t="s">
        <v>77</v>
      </c>
      <c r="B95" s="316">
        <v>1667.1</v>
      </c>
      <c r="C95" s="316">
        <f>2550</f>
        <v>2550</v>
      </c>
      <c r="D95" s="316">
        <f>2550</f>
        <v>2550</v>
      </c>
      <c r="E95" s="316">
        <v>1541.75</v>
      </c>
      <c r="F95" s="71"/>
      <c r="G95" s="72"/>
      <c r="J95" s="248"/>
    </row>
    <row r="96" spans="1:10" x14ac:dyDescent="0.2">
      <c r="A96" s="43" t="s">
        <v>327</v>
      </c>
      <c r="B96" s="316">
        <v>0</v>
      </c>
      <c r="C96" s="316">
        <v>0</v>
      </c>
      <c r="D96" s="316">
        <v>10</v>
      </c>
      <c r="E96" s="316">
        <v>1.64</v>
      </c>
      <c r="F96" s="71"/>
      <c r="G96" s="72"/>
    </row>
    <row r="97" spans="1:10" x14ac:dyDescent="0.2">
      <c r="A97" s="59" t="s">
        <v>228</v>
      </c>
      <c r="B97" s="318">
        <f t="shared" ref="B97:E98" si="10">B98</f>
        <v>29.89</v>
      </c>
      <c r="C97" s="318">
        <f t="shared" si="10"/>
        <v>65700</v>
      </c>
      <c r="D97" s="318">
        <f t="shared" si="10"/>
        <v>65900</v>
      </c>
      <c r="E97" s="318">
        <f t="shared" si="10"/>
        <v>0</v>
      </c>
      <c r="F97" s="77">
        <f>E97/B97*100</f>
        <v>0</v>
      </c>
      <c r="G97" s="78">
        <f>E97/D97*100</f>
        <v>0</v>
      </c>
    </row>
    <row r="98" spans="1:10" x14ac:dyDescent="0.2">
      <c r="A98" s="54" t="s">
        <v>229</v>
      </c>
      <c r="B98" s="315">
        <f t="shared" si="10"/>
        <v>29.89</v>
      </c>
      <c r="C98" s="315">
        <f t="shared" si="10"/>
        <v>65700</v>
      </c>
      <c r="D98" s="315">
        <f t="shared" si="10"/>
        <v>65900</v>
      </c>
      <c r="E98" s="315">
        <f t="shared" si="10"/>
        <v>0</v>
      </c>
      <c r="F98" s="69"/>
      <c r="G98" s="70"/>
    </row>
    <row r="99" spans="1:10" x14ac:dyDescent="0.2">
      <c r="A99" s="57" t="s">
        <v>218</v>
      </c>
      <c r="B99" s="53">
        <v>29.89</v>
      </c>
      <c r="C99" s="53">
        <f>35500+200+30000</f>
        <v>65700</v>
      </c>
      <c r="D99" s="53">
        <f>35500+400+30000</f>
        <v>65900</v>
      </c>
      <c r="E99" s="53">
        <v>0</v>
      </c>
      <c r="F99" s="75"/>
      <c r="G99" s="76"/>
    </row>
    <row r="100" spans="1:10" x14ac:dyDescent="0.2">
      <c r="A100" s="50" t="s">
        <v>78</v>
      </c>
      <c r="B100" s="318">
        <f>B101+B103</f>
        <v>1021.52</v>
      </c>
      <c r="C100" s="318">
        <f>C101+C103</f>
        <v>2710</v>
      </c>
      <c r="D100" s="318">
        <f>D101+D103</f>
        <v>2710</v>
      </c>
      <c r="E100" s="318">
        <f>E101+E103</f>
        <v>998.14</v>
      </c>
      <c r="F100" s="77">
        <f t="shared" si="7"/>
        <v>97.711253817840088</v>
      </c>
      <c r="G100" s="78">
        <f t="shared" si="8"/>
        <v>36.831734317343177</v>
      </c>
    </row>
    <row r="101" spans="1:10" s="101" customFormat="1" x14ac:dyDescent="0.2">
      <c r="A101" s="209" t="s">
        <v>301</v>
      </c>
      <c r="B101" s="315">
        <f>B102</f>
        <v>1021.52</v>
      </c>
      <c r="C101" s="315">
        <f>C102</f>
        <v>1110</v>
      </c>
      <c r="D101" s="315">
        <f>D102</f>
        <v>1110</v>
      </c>
      <c r="E101" s="315">
        <f>E102</f>
        <v>998.14</v>
      </c>
      <c r="F101" s="69"/>
      <c r="G101" s="70"/>
      <c r="J101" s="248"/>
    </row>
    <row r="102" spans="1:10" s="101" customFormat="1" x14ac:dyDescent="0.2">
      <c r="A102" s="43" t="s">
        <v>302</v>
      </c>
      <c r="B102" s="316">
        <v>1021.52</v>
      </c>
      <c r="C102" s="316">
        <f>10+1100</f>
        <v>1110</v>
      </c>
      <c r="D102" s="316">
        <f>10+1100</f>
        <v>1110</v>
      </c>
      <c r="E102" s="316">
        <v>998.14</v>
      </c>
      <c r="F102" s="71"/>
      <c r="G102" s="72"/>
      <c r="J102" s="248"/>
    </row>
    <row r="103" spans="1:10" x14ac:dyDescent="0.2">
      <c r="A103" s="41" t="s">
        <v>79</v>
      </c>
      <c r="B103" s="317">
        <f>B104</f>
        <v>0</v>
      </c>
      <c r="C103" s="317">
        <f>C104</f>
        <v>1600</v>
      </c>
      <c r="D103" s="317">
        <f>D104</f>
        <v>1600</v>
      </c>
      <c r="E103" s="317">
        <f>E104</f>
        <v>0</v>
      </c>
      <c r="F103" s="73"/>
      <c r="G103" s="74"/>
    </row>
    <row r="104" spans="1:10" s="40" customFormat="1" ht="13.5" thickBot="1" x14ac:dyDescent="0.25">
      <c r="A104" s="52" t="s">
        <v>219</v>
      </c>
      <c r="B104" s="53">
        <v>0</v>
      </c>
      <c r="C104" s="53">
        <f>1600</f>
        <v>1600</v>
      </c>
      <c r="D104" s="53">
        <f>1600</f>
        <v>1600</v>
      </c>
      <c r="E104" s="53">
        <v>0</v>
      </c>
      <c r="F104" s="87"/>
      <c r="G104" s="88"/>
      <c r="J104" s="256"/>
    </row>
    <row r="105" spans="1:10" ht="18" customHeight="1" thickBot="1" x14ac:dyDescent="0.25">
      <c r="A105" s="51" t="s">
        <v>13</v>
      </c>
      <c r="B105" s="323">
        <f>B106</f>
        <v>7981.96</v>
      </c>
      <c r="C105" s="323">
        <f>C106</f>
        <v>15000</v>
      </c>
      <c r="D105" s="323">
        <f>D106</f>
        <v>18225</v>
      </c>
      <c r="E105" s="323">
        <f>E106</f>
        <v>2006.63</v>
      </c>
      <c r="F105" s="65">
        <f t="shared" si="7"/>
        <v>25.139564718440084</v>
      </c>
      <c r="G105" s="66">
        <f t="shared" si="8"/>
        <v>11.010315500685872</v>
      </c>
    </row>
    <row r="106" spans="1:10" x14ac:dyDescent="0.2">
      <c r="A106" s="61" t="s">
        <v>230</v>
      </c>
      <c r="B106" s="314">
        <f>B107+B113</f>
        <v>7981.96</v>
      </c>
      <c r="C106" s="314">
        <f>C107+C113</f>
        <v>15000</v>
      </c>
      <c r="D106" s="314">
        <f>D107+D113</f>
        <v>18225</v>
      </c>
      <c r="E106" s="314">
        <f>E107+E113</f>
        <v>2006.63</v>
      </c>
      <c r="F106" s="67">
        <f t="shared" si="7"/>
        <v>25.139564718440084</v>
      </c>
      <c r="G106" s="68">
        <f t="shared" si="8"/>
        <v>11.010315500685872</v>
      </c>
    </row>
    <row r="107" spans="1:10" x14ac:dyDescent="0.2">
      <c r="A107" s="47" t="s">
        <v>80</v>
      </c>
      <c r="B107" s="315">
        <f>SUM(B108:B112)</f>
        <v>7657.25</v>
      </c>
      <c r="C107" s="315">
        <f>SUM(C108:C112)</f>
        <v>4000</v>
      </c>
      <c r="D107" s="315">
        <f>SUM(D108:D112)</f>
        <v>7225</v>
      </c>
      <c r="E107" s="315">
        <f>SUM(E108:E112)</f>
        <v>2006.63</v>
      </c>
      <c r="F107" s="69"/>
      <c r="G107" s="70"/>
    </row>
    <row r="108" spans="1:10" x14ac:dyDescent="0.2">
      <c r="A108" s="42" t="s">
        <v>81</v>
      </c>
      <c r="B108" s="316">
        <v>7657.25</v>
      </c>
      <c r="C108" s="316">
        <f>4000</f>
        <v>4000</v>
      </c>
      <c r="D108" s="316">
        <f>3225+1300</f>
        <v>4525</v>
      </c>
      <c r="E108" s="316">
        <v>0</v>
      </c>
      <c r="F108" s="71"/>
      <c r="G108" s="72"/>
    </row>
    <row r="109" spans="1:10" x14ac:dyDescent="0.2">
      <c r="A109" s="42" t="s">
        <v>82</v>
      </c>
      <c r="B109" s="316">
        <v>0</v>
      </c>
      <c r="C109" s="316">
        <v>0</v>
      </c>
      <c r="D109" s="316">
        <v>0</v>
      </c>
      <c r="E109" s="316">
        <v>0</v>
      </c>
      <c r="F109" s="71"/>
      <c r="G109" s="72"/>
    </row>
    <row r="110" spans="1:10" x14ac:dyDescent="0.2">
      <c r="A110" s="42" t="s">
        <v>83</v>
      </c>
      <c r="B110" s="316">
        <v>0</v>
      </c>
      <c r="C110" s="316">
        <v>0</v>
      </c>
      <c r="D110" s="316">
        <v>0</v>
      </c>
      <c r="E110" s="316">
        <v>0</v>
      </c>
      <c r="F110" s="71"/>
      <c r="G110" s="72"/>
    </row>
    <row r="111" spans="1:10" x14ac:dyDescent="0.2">
      <c r="A111" s="42" t="s">
        <v>84</v>
      </c>
      <c r="B111" s="316">
        <v>0</v>
      </c>
      <c r="C111" s="316">
        <v>0</v>
      </c>
      <c r="D111" s="316">
        <v>0</v>
      </c>
      <c r="E111" s="316">
        <v>0</v>
      </c>
      <c r="F111" s="71"/>
      <c r="G111" s="72"/>
    </row>
    <row r="112" spans="1:10" x14ac:dyDescent="0.2">
      <c r="A112" s="42" t="s">
        <v>85</v>
      </c>
      <c r="B112" s="316">
        <v>0</v>
      </c>
      <c r="C112" s="316">
        <v>0</v>
      </c>
      <c r="D112" s="316">
        <f>2700</f>
        <v>2700</v>
      </c>
      <c r="E112" s="316">
        <v>2006.63</v>
      </c>
      <c r="F112" s="71"/>
      <c r="G112" s="72"/>
    </row>
    <row r="113" spans="1:7" x14ac:dyDescent="0.2">
      <c r="A113" s="41" t="s">
        <v>86</v>
      </c>
      <c r="B113" s="317">
        <f>B114</f>
        <v>324.70999999999998</v>
      </c>
      <c r="C113" s="317">
        <f>C114</f>
        <v>11000</v>
      </c>
      <c r="D113" s="317">
        <f>D114</f>
        <v>11000</v>
      </c>
      <c r="E113" s="317">
        <f>E114</f>
        <v>0</v>
      </c>
      <c r="F113" s="73"/>
      <c r="G113" s="74"/>
    </row>
    <row r="114" spans="1:7" ht="13.5" thickBot="1" x14ac:dyDescent="0.25">
      <c r="A114" s="45" t="s">
        <v>87</v>
      </c>
      <c r="B114" s="324">
        <v>324.70999999999998</v>
      </c>
      <c r="C114" s="324">
        <f>10000+1000</f>
        <v>11000</v>
      </c>
      <c r="D114" s="324">
        <f>10000+1000</f>
        <v>11000</v>
      </c>
      <c r="E114" s="324">
        <v>0</v>
      </c>
      <c r="F114" s="89"/>
      <c r="G114" s="90"/>
    </row>
    <row r="115" spans="1:7" ht="13.5" thickTop="1" x14ac:dyDescent="0.2">
      <c r="A115" s="7" t="s">
        <v>0</v>
      </c>
      <c r="B115" s="6" t="s">
        <v>0</v>
      </c>
      <c r="C115" s="376" t="s">
        <v>0</v>
      </c>
      <c r="D115" s="6" t="s">
        <v>0</v>
      </c>
      <c r="E115" s="6" t="s">
        <v>0</v>
      </c>
      <c r="F115" s="7" t="s">
        <v>0</v>
      </c>
      <c r="G115" s="7" t="s">
        <v>0</v>
      </c>
    </row>
  </sheetData>
  <mergeCells count="6">
    <mergeCell ref="A5:G5"/>
    <mergeCell ref="A8:G8"/>
    <mergeCell ref="A10:G10"/>
    <mergeCell ref="A7:G7"/>
    <mergeCell ref="A6:G6"/>
    <mergeCell ref="A9:F9"/>
  </mergeCells>
  <pageMargins left="0.35433070866141736" right="0.35433070866141736" top="0.59055118110236227" bottom="0.39370078740157483" header="0.51181102362204722" footer="0.51181102362204722"/>
  <pageSetup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4" zoomScaleNormal="100" workbookViewId="0">
      <selection activeCell="R24" sqref="R24:S24"/>
    </sheetView>
  </sheetViews>
  <sheetFormatPr defaultRowHeight="12.75" x14ac:dyDescent="0.2"/>
  <cols>
    <col min="2" max="2" width="8.85546875" customWidth="1"/>
    <col min="9" max="9" width="5.85546875" customWidth="1"/>
    <col min="10" max="11" width="10.140625" style="40" customWidth="1"/>
    <col min="12" max="13" width="9.140625" style="92"/>
    <col min="14" max="15" width="8.7109375" style="92" customWidth="1"/>
    <col min="16" max="17" width="9.28515625" style="40" customWidth="1"/>
    <col min="18" max="21" width="5" customWidth="1"/>
    <col min="23" max="23" width="16" style="248" customWidth="1"/>
  </cols>
  <sheetData>
    <row r="1" spans="1:23" s="9" customFormat="1" x14ac:dyDescent="0.2">
      <c r="A1" s="9" t="s">
        <v>209</v>
      </c>
      <c r="J1" s="40"/>
      <c r="K1" s="40"/>
      <c r="L1" s="92"/>
      <c r="M1" s="92"/>
      <c r="N1" s="92"/>
      <c r="O1" s="92"/>
      <c r="P1" s="40"/>
      <c r="Q1" s="40"/>
      <c r="W1" s="248"/>
    </row>
    <row r="2" spans="1:23" s="9" customFormat="1" x14ac:dyDescent="0.2">
      <c r="A2" s="9" t="s">
        <v>210</v>
      </c>
      <c r="J2" s="40"/>
      <c r="K2" s="40"/>
      <c r="L2" s="92"/>
      <c r="M2" s="92"/>
      <c r="N2" s="92"/>
      <c r="O2" s="92"/>
      <c r="P2" s="40"/>
      <c r="Q2" s="40"/>
      <c r="W2" s="248"/>
    </row>
    <row r="3" spans="1:23" s="9" customFormat="1" x14ac:dyDescent="0.2">
      <c r="A3" s="9" t="s">
        <v>211</v>
      </c>
      <c r="J3" s="40"/>
      <c r="K3" s="40"/>
      <c r="L3" s="92"/>
      <c r="M3" s="92"/>
      <c r="N3" s="92"/>
      <c r="O3" s="92"/>
      <c r="P3" s="40"/>
      <c r="Q3" s="40"/>
      <c r="W3" s="248"/>
    </row>
    <row r="4" spans="1:23" s="9" customFormat="1" x14ac:dyDescent="0.2">
      <c r="A4" s="9" t="s">
        <v>212</v>
      </c>
      <c r="J4" s="40"/>
      <c r="K4" s="40"/>
      <c r="L4" s="92"/>
      <c r="M4" s="92"/>
      <c r="N4" s="92"/>
      <c r="O4" s="92"/>
      <c r="P4" s="40"/>
      <c r="Q4" s="40"/>
      <c r="W4" s="248"/>
    </row>
    <row r="5" spans="1:23" x14ac:dyDescent="0.2">
      <c r="A5" s="416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</row>
    <row r="6" spans="1:23" s="1" customFormat="1" ht="24" customHeight="1" x14ac:dyDescent="0.25">
      <c r="A6" s="411" t="s">
        <v>322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W6" s="249"/>
    </row>
    <row r="7" spans="1:23" s="3" customFormat="1" ht="24" customHeight="1" x14ac:dyDescent="0.25">
      <c r="A7" s="418" t="s">
        <v>235</v>
      </c>
      <c r="B7" s="527"/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527"/>
      <c r="U7" s="527"/>
      <c r="W7" s="259"/>
    </row>
    <row r="8" spans="1:23" s="9" customFormat="1" ht="24" customHeight="1" x14ac:dyDescent="0.2">
      <c r="A8" s="412" t="s">
        <v>323</v>
      </c>
      <c r="B8" s="413"/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W8" s="248"/>
    </row>
    <row r="9" spans="1:23" s="9" customFormat="1" ht="17.25" customHeight="1" x14ac:dyDescent="0.2">
      <c r="A9" s="414" t="s">
        <v>213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W9" s="248"/>
    </row>
    <row r="10" spans="1:23" ht="13.5" thickBot="1" x14ac:dyDescent="0.25">
      <c r="A10" s="417" t="s">
        <v>0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</row>
    <row r="11" spans="1:23" s="10" customFormat="1" ht="30.75" customHeight="1" thickTop="1" x14ac:dyDescent="0.2">
      <c r="A11" s="523" t="s">
        <v>1</v>
      </c>
      <c r="B11" s="524"/>
      <c r="C11" s="524"/>
      <c r="D11" s="524"/>
      <c r="E11" s="524"/>
      <c r="F11" s="524"/>
      <c r="G11" s="524"/>
      <c r="H11" s="524"/>
      <c r="I11" s="524"/>
      <c r="J11" s="525" t="s">
        <v>315</v>
      </c>
      <c r="K11" s="526"/>
      <c r="L11" s="528" t="s">
        <v>324</v>
      </c>
      <c r="M11" s="529"/>
      <c r="N11" s="525" t="s">
        <v>325</v>
      </c>
      <c r="O11" s="526"/>
      <c r="P11" s="525" t="s">
        <v>326</v>
      </c>
      <c r="Q11" s="526"/>
      <c r="R11" s="530" t="s">
        <v>2</v>
      </c>
      <c r="S11" s="531"/>
      <c r="T11" s="530" t="s">
        <v>3</v>
      </c>
      <c r="U11" s="532"/>
      <c r="W11" s="247"/>
    </row>
    <row r="12" spans="1:23" s="10" customFormat="1" ht="13.5" thickBot="1" x14ac:dyDescent="0.25">
      <c r="A12" s="517" t="s">
        <v>88</v>
      </c>
      <c r="B12" s="518"/>
      <c r="C12" s="518"/>
      <c r="D12" s="518"/>
      <c r="E12" s="518"/>
      <c r="F12" s="518"/>
      <c r="G12" s="518"/>
      <c r="H12" s="518"/>
      <c r="I12" s="518"/>
      <c r="J12" s="519" t="s">
        <v>4</v>
      </c>
      <c r="K12" s="520"/>
      <c r="L12" s="519" t="s">
        <v>5</v>
      </c>
      <c r="M12" s="520"/>
      <c r="N12" s="519" t="s">
        <v>6</v>
      </c>
      <c r="O12" s="520"/>
      <c r="P12" s="519" t="s">
        <v>7</v>
      </c>
      <c r="Q12" s="520"/>
      <c r="R12" s="521" t="s">
        <v>8</v>
      </c>
      <c r="S12" s="518"/>
      <c r="T12" s="521" t="s">
        <v>9</v>
      </c>
      <c r="U12" s="522"/>
      <c r="W12" s="247"/>
    </row>
    <row r="13" spans="1:23" s="102" customFormat="1" ht="13.5" customHeight="1" thickTop="1" thickBot="1" x14ac:dyDescent="0.25">
      <c r="A13" s="510" t="s">
        <v>238</v>
      </c>
      <c r="B13" s="511"/>
      <c r="C13" s="511"/>
      <c r="D13" s="511"/>
      <c r="E13" s="511"/>
      <c r="F13" s="511"/>
      <c r="G13" s="511"/>
      <c r="H13" s="511"/>
      <c r="I13" s="511"/>
      <c r="J13" s="512"/>
      <c r="K13" s="511"/>
      <c r="L13" s="513"/>
      <c r="M13" s="514"/>
      <c r="N13" s="512"/>
      <c r="O13" s="511"/>
      <c r="P13" s="512"/>
      <c r="Q13" s="511"/>
      <c r="R13" s="515">
        <v>120.41</v>
      </c>
      <c r="S13" s="511"/>
      <c r="T13" s="515">
        <v>42.31</v>
      </c>
      <c r="U13" s="516"/>
      <c r="W13" s="246"/>
    </row>
    <row r="14" spans="1:23" s="98" customFormat="1" x14ac:dyDescent="0.2">
      <c r="A14" s="487" t="s">
        <v>89</v>
      </c>
      <c r="B14" s="488"/>
      <c r="C14" s="488"/>
      <c r="D14" s="488"/>
      <c r="E14" s="488"/>
      <c r="F14" s="488"/>
      <c r="G14" s="488"/>
      <c r="H14" s="488"/>
      <c r="I14" s="488"/>
      <c r="J14" s="489">
        <f>SUM(J15:K17)</f>
        <v>107211.26</v>
      </c>
      <c r="K14" s="488"/>
      <c r="L14" s="489">
        <f>SUM(L15:M17)</f>
        <v>284315</v>
      </c>
      <c r="M14" s="488"/>
      <c r="N14" s="489">
        <f>SUM(N15:O17)</f>
        <v>346906</v>
      </c>
      <c r="O14" s="488"/>
      <c r="P14" s="489">
        <f>SUM(P15:Q17)</f>
        <v>142928.68000000002</v>
      </c>
      <c r="Q14" s="488"/>
      <c r="R14" s="484">
        <f t="shared" ref="R14:R22" si="0">P14/J14*100</f>
        <v>133.31498948897723</v>
      </c>
      <c r="S14" s="508"/>
      <c r="T14" s="484">
        <f>P14/N14*100</f>
        <v>41.200982398690137</v>
      </c>
      <c r="U14" s="509"/>
      <c r="W14" s="260"/>
    </row>
    <row r="15" spans="1:23" s="14" customFormat="1" x14ac:dyDescent="0.2">
      <c r="A15" s="467" t="s">
        <v>337</v>
      </c>
      <c r="B15" s="483"/>
      <c r="C15" s="483"/>
      <c r="D15" s="483"/>
      <c r="E15" s="483"/>
      <c r="F15" s="483"/>
      <c r="G15" s="483"/>
      <c r="H15" s="483"/>
      <c r="I15" s="483"/>
      <c r="J15" s="437">
        <v>35014.58</v>
      </c>
      <c r="K15" s="437"/>
      <c r="L15" s="437">
        <f>155435+6080</f>
        <v>161515</v>
      </c>
      <c r="M15" s="437"/>
      <c r="N15" s="437">
        <f>173685+6080+6034</f>
        <v>185799</v>
      </c>
      <c r="O15" s="437"/>
      <c r="P15" s="437">
        <v>70779.12</v>
      </c>
      <c r="Q15" s="437"/>
      <c r="R15" s="460">
        <f t="shared" si="0"/>
        <v>202.1418506233689</v>
      </c>
      <c r="S15" s="460"/>
      <c r="T15" s="460">
        <f t="shared" ref="T15:T57" si="1">P15/N15*100</f>
        <v>38.094456913115785</v>
      </c>
      <c r="U15" s="533"/>
      <c r="W15" s="250"/>
    </row>
    <row r="16" spans="1:23" s="97" customFormat="1" x14ac:dyDescent="0.2">
      <c r="A16" s="420" t="s">
        <v>338</v>
      </c>
      <c r="B16" s="421"/>
      <c r="C16" s="421"/>
      <c r="D16" s="421"/>
      <c r="E16" s="421"/>
      <c r="F16" s="421"/>
      <c r="G16" s="421"/>
      <c r="H16" s="421"/>
      <c r="I16" s="421"/>
      <c r="J16" s="462">
        <f>63901.68+8295</f>
        <v>72196.679999999993</v>
      </c>
      <c r="K16" s="421"/>
      <c r="L16" s="462">
        <v>112360</v>
      </c>
      <c r="M16" s="421"/>
      <c r="N16" s="462">
        <f>115671+34010+986</f>
        <v>150667</v>
      </c>
      <c r="O16" s="421"/>
      <c r="P16" s="462">
        <v>69406.64</v>
      </c>
      <c r="Q16" s="421"/>
      <c r="R16" s="464">
        <f t="shared" ref="R16" si="2">P16/J16*100</f>
        <v>96.135500967634542</v>
      </c>
      <c r="S16" s="534"/>
      <c r="T16" s="464">
        <f t="shared" ref="T16" si="3">P16/N16*100</f>
        <v>46.066252065814012</v>
      </c>
      <c r="U16" s="466"/>
      <c r="W16" s="250"/>
    </row>
    <row r="17" spans="1:23" s="14" customFormat="1" x14ac:dyDescent="0.2">
      <c r="A17" s="420" t="s">
        <v>339</v>
      </c>
      <c r="B17" s="421"/>
      <c r="C17" s="421"/>
      <c r="D17" s="421"/>
      <c r="E17" s="421"/>
      <c r="F17" s="421"/>
      <c r="G17" s="421"/>
      <c r="H17" s="421"/>
      <c r="I17" s="421"/>
      <c r="J17" s="462">
        <v>0</v>
      </c>
      <c r="K17" s="421"/>
      <c r="L17" s="462">
        <v>10440</v>
      </c>
      <c r="M17" s="421"/>
      <c r="N17" s="462">
        <v>10440</v>
      </c>
      <c r="O17" s="421"/>
      <c r="P17" s="462">
        <f>1756.54+986.38</f>
        <v>2742.92</v>
      </c>
      <c r="Q17" s="421"/>
      <c r="R17" s="464">
        <v>0</v>
      </c>
      <c r="S17" s="534"/>
      <c r="T17" s="464">
        <f t="shared" si="1"/>
        <v>26.273180076628357</v>
      </c>
      <c r="U17" s="466"/>
      <c r="W17" s="250"/>
    </row>
    <row r="18" spans="1:23" s="98" customFormat="1" x14ac:dyDescent="0.2">
      <c r="A18" s="455" t="s">
        <v>90</v>
      </c>
      <c r="B18" s="456"/>
      <c r="C18" s="456"/>
      <c r="D18" s="456"/>
      <c r="E18" s="456"/>
      <c r="F18" s="456"/>
      <c r="G18" s="456"/>
      <c r="H18" s="456"/>
      <c r="I18" s="456"/>
      <c r="J18" s="457">
        <f>SUM(J19:K20)</f>
        <v>10334</v>
      </c>
      <c r="K18" s="456"/>
      <c r="L18" s="457">
        <f>SUM(L19:M20)</f>
        <v>18000</v>
      </c>
      <c r="M18" s="456"/>
      <c r="N18" s="457">
        <f>SUM(N19:O20)</f>
        <v>18000</v>
      </c>
      <c r="O18" s="456"/>
      <c r="P18" s="457">
        <f>SUM(P19:Q20)</f>
        <v>9532.2000000000007</v>
      </c>
      <c r="Q18" s="456"/>
      <c r="R18" s="458">
        <f t="shared" si="0"/>
        <v>92.241145732533397</v>
      </c>
      <c r="S18" s="505"/>
      <c r="T18" s="458">
        <f t="shared" si="1"/>
        <v>52.956666666666678</v>
      </c>
      <c r="U18" s="463"/>
      <c r="W18" s="260"/>
    </row>
    <row r="19" spans="1:23" s="14" customFormat="1" x14ac:dyDescent="0.2">
      <c r="A19" s="475" t="s">
        <v>370</v>
      </c>
      <c r="B19" s="476"/>
      <c r="C19" s="476"/>
      <c r="D19" s="476"/>
      <c r="E19" s="476"/>
      <c r="F19" s="476"/>
      <c r="G19" s="476"/>
      <c r="H19" s="476"/>
      <c r="I19" s="476"/>
      <c r="J19" s="490">
        <v>10334</v>
      </c>
      <c r="K19" s="476"/>
      <c r="L19" s="490">
        <v>18000</v>
      </c>
      <c r="M19" s="476"/>
      <c r="N19" s="490">
        <v>18000</v>
      </c>
      <c r="O19" s="476"/>
      <c r="P19" s="490">
        <v>9532.2000000000007</v>
      </c>
      <c r="Q19" s="476"/>
      <c r="R19" s="491">
        <f t="shared" si="0"/>
        <v>92.241145732533397</v>
      </c>
      <c r="S19" s="492"/>
      <c r="T19" s="491">
        <f t="shared" si="1"/>
        <v>52.956666666666678</v>
      </c>
      <c r="U19" s="493"/>
      <c r="W19" s="250"/>
    </row>
    <row r="20" spans="1:23" s="97" customFormat="1" x14ac:dyDescent="0.2">
      <c r="A20" s="475" t="s">
        <v>371</v>
      </c>
      <c r="B20" s="476"/>
      <c r="C20" s="476"/>
      <c r="D20" s="476"/>
      <c r="E20" s="476"/>
      <c r="F20" s="476"/>
      <c r="G20" s="476"/>
      <c r="H20" s="476"/>
      <c r="I20" s="476"/>
      <c r="J20" s="490">
        <v>0</v>
      </c>
      <c r="K20" s="476"/>
      <c r="L20" s="490">
        <v>0</v>
      </c>
      <c r="M20" s="476"/>
      <c r="N20" s="490">
        <v>0</v>
      </c>
      <c r="O20" s="476"/>
      <c r="P20" s="490">
        <v>0</v>
      </c>
      <c r="Q20" s="476"/>
      <c r="R20" s="491">
        <v>0</v>
      </c>
      <c r="S20" s="492"/>
      <c r="T20" s="491">
        <v>0</v>
      </c>
      <c r="U20" s="493"/>
      <c r="W20" s="251"/>
    </row>
    <row r="21" spans="1:23" s="98" customFormat="1" x14ac:dyDescent="0.2">
      <c r="A21" s="455" t="s">
        <v>91</v>
      </c>
      <c r="B21" s="456"/>
      <c r="C21" s="456"/>
      <c r="D21" s="456"/>
      <c r="E21" s="456"/>
      <c r="F21" s="456"/>
      <c r="G21" s="456"/>
      <c r="H21" s="456"/>
      <c r="I21" s="456"/>
      <c r="J21" s="457">
        <f>SUM(J22:K23)</f>
        <v>33418.35</v>
      </c>
      <c r="K21" s="456"/>
      <c r="L21" s="457">
        <f>SUM(L22:M23)</f>
        <v>57830</v>
      </c>
      <c r="M21" s="456"/>
      <c r="N21" s="457">
        <f>SUM(N22:O23)</f>
        <v>63581</v>
      </c>
      <c r="O21" s="456"/>
      <c r="P21" s="457">
        <f>SUM(P22:Q23)</f>
        <v>33862.19</v>
      </c>
      <c r="Q21" s="456"/>
      <c r="R21" s="458">
        <f t="shared" si="0"/>
        <v>101.3281325978093</v>
      </c>
      <c r="S21" s="505"/>
      <c r="T21" s="458">
        <f t="shared" si="1"/>
        <v>53.258347619571886</v>
      </c>
      <c r="U21" s="463"/>
      <c r="W21" s="260"/>
    </row>
    <row r="22" spans="1:23" s="14" customFormat="1" x14ac:dyDescent="0.2">
      <c r="A22" s="475" t="s">
        <v>343</v>
      </c>
      <c r="B22" s="476"/>
      <c r="C22" s="476"/>
      <c r="D22" s="476"/>
      <c r="E22" s="476"/>
      <c r="F22" s="476"/>
      <c r="G22" s="476"/>
      <c r="H22" s="476"/>
      <c r="I22" s="476"/>
      <c r="J22" s="490">
        <f>29407.32+210.03</f>
        <v>29617.35</v>
      </c>
      <c r="K22" s="476"/>
      <c r="L22" s="490">
        <v>57830</v>
      </c>
      <c r="M22" s="476"/>
      <c r="N22" s="490">
        <v>57830</v>
      </c>
      <c r="O22" s="476"/>
      <c r="P22" s="490">
        <f>33825+37.19</f>
        <v>33862.19</v>
      </c>
      <c r="Q22" s="476"/>
      <c r="R22" s="491">
        <f t="shared" si="0"/>
        <v>114.33227483215076</v>
      </c>
      <c r="S22" s="492"/>
      <c r="T22" s="491">
        <f t="shared" si="1"/>
        <v>58.554712087152005</v>
      </c>
      <c r="U22" s="493"/>
      <c r="W22" s="250"/>
    </row>
    <row r="23" spans="1:23" s="97" customFormat="1" x14ac:dyDescent="0.2">
      <c r="A23" s="475" t="s">
        <v>350</v>
      </c>
      <c r="B23" s="476"/>
      <c r="C23" s="476"/>
      <c r="D23" s="476"/>
      <c r="E23" s="476"/>
      <c r="F23" s="476"/>
      <c r="G23" s="476"/>
      <c r="H23" s="476"/>
      <c r="I23" s="476"/>
      <c r="J23" s="490">
        <v>3801</v>
      </c>
      <c r="K23" s="476"/>
      <c r="L23" s="490">
        <v>0</v>
      </c>
      <c r="M23" s="476"/>
      <c r="N23" s="490">
        <v>5751</v>
      </c>
      <c r="O23" s="476"/>
      <c r="P23" s="490">
        <v>0</v>
      </c>
      <c r="Q23" s="476"/>
      <c r="R23" s="491">
        <v>0</v>
      </c>
      <c r="S23" s="492"/>
      <c r="T23" s="491">
        <f>P23/N23*100</f>
        <v>0</v>
      </c>
      <c r="U23" s="493"/>
      <c r="W23" s="250"/>
    </row>
    <row r="24" spans="1:23" s="98" customFormat="1" x14ac:dyDescent="0.2">
      <c r="A24" s="455" t="s">
        <v>92</v>
      </c>
      <c r="B24" s="456"/>
      <c r="C24" s="456"/>
      <c r="D24" s="456"/>
      <c r="E24" s="456"/>
      <c r="F24" s="456"/>
      <c r="G24" s="456"/>
      <c r="H24" s="456"/>
      <c r="I24" s="456"/>
      <c r="J24" s="457">
        <f>SUM(J25:K28)</f>
        <v>995156.12999999989</v>
      </c>
      <c r="K24" s="456"/>
      <c r="L24" s="457">
        <f>SUM(L25:M28)</f>
        <v>2042090</v>
      </c>
      <c r="M24" s="456"/>
      <c r="N24" s="457">
        <f>SUM(N25:O28)</f>
        <v>2206870</v>
      </c>
      <c r="O24" s="456"/>
      <c r="P24" s="457">
        <f>SUM(P25:Q28)</f>
        <v>1071120.08</v>
      </c>
      <c r="Q24" s="456"/>
      <c r="R24" s="458">
        <f t="shared" ref="R24:R31" si="4">P24/J24*100</f>
        <v>107.63337005219475</v>
      </c>
      <c r="S24" s="505"/>
      <c r="T24" s="458">
        <f t="shared" si="1"/>
        <v>48.535712570291864</v>
      </c>
      <c r="U24" s="463"/>
      <c r="W24" s="260"/>
    </row>
    <row r="25" spans="1:23" s="14" customFormat="1" x14ac:dyDescent="0.2">
      <c r="A25" s="475" t="s">
        <v>344</v>
      </c>
      <c r="B25" s="476"/>
      <c r="C25" s="476"/>
      <c r="D25" s="476"/>
      <c r="E25" s="476"/>
      <c r="F25" s="476"/>
      <c r="G25" s="476"/>
      <c r="H25" s="476"/>
      <c r="I25" s="476"/>
      <c r="J25" s="490">
        <v>0</v>
      </c>
      <c r="K25" s="476"/>
      <c r="L25" s="490">
        <v>1974190</v>
      </c>
      <c r="M25" s="476"/>
      <c r="N25" s="490">
        <v>2132646</v>
      </c>
      <c r="O25" s="476"/>
      <c r="P25" s="490">
        <v>1036941.28</v>
      </c>
      <c r="Q25" s="476"/>
      <c r="R25" s="491">
        <v>0</v>
      </c>
      <c r="S25" s="492"/>
      <c r="T25" s="491">
        <f t="shared" si="1"/>
        <v>48.622287993412876</v>
      </c>
      <c r="U25" s="493"/>
      <c r="W25" s="250"/>
    </row>
    <row r="26" spans="1:23" s="97" customFormat="1" x14ac:dyDescent="0.2">
      <c r="A26" s="475" t="s">
        <v>345</v>
      </c>
      <c r="B26" s="476"/>
      <c r="C26" s="476"/>
      <c r="D26" s="476"/>
      <c r="E26" s="476"/>
      <c r="F26" s="476"/>
      <c r="G26" s="476"/>
      <c r="H26" s="476"/>
      <c r="I26" s="476"/>
      <c r="J26" s="490">
        <f>941194.19+11.09+40035.08</f>
        <v>981240.35999999987</v>
      </c>
      <c r="K26" s="476"/>
      <c r="L26" s="490">
        <v>7900</v>
      </c>
      <c r="M26" s="476"/>
      <c r="N26" s="490">
        <v>7900</v>
      </c>
      <c r="O26" s="476"/>
      <c r="P26" s="490">
        <v>385</v>
      </c>
      <c r="Q26" s="476"/>
      <c r="R26" s="491">
        <f t="shared" si="4"/>
        <v>3.9236054252803063E-2</v>
      </c>
      <c r="S26" s="492"/>
      <c r="T26" s="491">
        <f t="shared" ref="T26" si="5">P26/N26*100</f>
        <v>4.8734177215189876</v>
      </c>
      <c r="U26" s="493"/>
      <c r="W26" s="250"/>
    </row>
    <row r="27" spans="1:23" s="97" customFormat="1" x14ac:dyDescent="0.2">
      <c r="A27" s="475" t="s">
        <v>346</v>
      </c>
      <c r="B27" s="476"/>
      <c r="C27" s="476"/>
      <c r="D27" s="476"/>
      <c r="E27" s="476"/>
      <c r="F27" s="476"/>
      <c r="G27" s="476"/>
      <c r="H27" s="476"/>
      <c r="I27" s="476"/>
      <c r="J27" s="490">
        <v>0</v>
      </c>
      <c r="K27" s="476"/>
      <c r="L27" s="490">
        <v>60000</v>
      </c>
      <c r="M27" s="476"/>
      <c r="N27" s="490">
        <v>65534</v>
      </c>
      <c r="O27" s="476"/>
      <c r="P27" s="490">
        <v>33793.800000000003</v>
      </c>
      <c r="Q27" s="476"/>
      <c r="R27" s="491">
        <v>0</v>
      </c>
      <c r="S27" s="492"/>
      <c r="T27" s="491">
        <f t="shared" ref="T27" si="6">P27/N27*100</f>
        <v>51.566820276497708</v>
      </c>
      <c r="U27" s="493"/>
      <c r="W27" s="250"/>
    </row>
    <row r="28" spans="1:23" s="97" customFormat="1" ht="25.5" customHeight="1" x14ac:dyDescent="0.2">
      <c r="A28" s="506" t="s">
        <v>347</v>
      </c>
      <c r="B28" s="507"/>
      <c r="C28" s="507"/>
      <c r="D28" s="507"/>
      <c r="E28" s="507"/>
      <c r="F28" s="507"/>
      <c r="G28" s="507"/>
      <c r="H28" s="507"/>
      <c r="I28" s="507"/>
      <c r="J28" s="490">
        <v>13915.77</v>
      </c>
      <c r="K28" s="476"/>
      <c r="L28" s="490">
        <v>0</v>
      </c>
      <c r="M28" s="476"/>
      <c r="N28" s="490">
        <f>790</f>
        <v>790</v>
      </c>
      <c r="O28" s="476"/>
      <c r="P28" s="490">
        <v>0</v>
      </c>
      <c r="Q28" s="476"/>
      <c r="R28" s="491">
        <f t="shared" si="4"/>
        <v>0</v>
      </c>
      <c r="S28" s="492"/>
      <c r="T28" s="491">
        <f>P28/N28*100</f>
        <v>0</v>
      </c>
      <c r="U28" s="493"/>
      <c r="W28" s="250"/>
    </row>
    <row r="29" spans="1:23" s="98" customFormat="1" x14ac:dyDescent="0.2">
      <c r="A29" s="455" t="s">
        <v>93</v>
      </c>
      <c r="B29" s="456"/>
      <c r="C29" s="456"/>
      <c r="D29" s="456"/>
      <c r="E29" s="456"/>
      <c r="F29" s="456"/>
      <c r="G29" s="456"/>
      <c r="H29" s="456"/>
      <c r="I29" s="456"/>
      <c r="J29" s="457">
        <f>SUM(J30:K31)</f>
        <v>1050</v>
      </c>
      <c r="K29" s="456"/>
      <c r="L29" s="457">
        <f>SUM(L30:M31)</f>
        <v>4000</v>
      </c>
      <c r="M29" s="456"/>
      <c r="N29" s="457">
        <f>SUM(N30:O31)</f>
        <v>4484</v>
      </c>
      <c r="O29" s="456"/>
      <c r="P29" s="457">
        <f>SUM(P30:Q31)</f>
        <v>300</v>
      </c>
      <c r="Q29" s="456"/>
      <c r="R29" s="458">
        <f t="shared" si="4"/>
        <v>28.571428571428569</v>
      </c>
      <c r="S29" s="505"/>
      <c r="T29" s="458">
        <f t="shared" si="1"/>
        <v>6.6904549509366635</v>
      </c>
      <c r="U29" s="463"/>
      <c r="W29" s="260"/>
    </row>
    <row r="30" spans="1:23" s="14" customFormat="1" x14ac:dyDescent="0.2">
      <c r="A30" s="475" t="s">
        <v>348</v>
      </c>
      <c r="B30" s="476"/>
      <c r="C30" s="476"/>
      <c r="D30" s="476"/>
      <c r="E30" s="476"/>
      <c r="F30" s="476"/>
      <c r="G30" s="476"/>
      <c r="H30" s="476"/>
      <c r="I30" s="476"/>
      <c r="J30" s="490">
        <v>1050</v>
      </c>
      <c r="K30" s="476"/>
      <c r="L30" s="490">
        <v>4000</v>
      </c>
      <c r="M30" s="476"/>
      <c r="N30" s="490">
        <v>4000</v>
      </c>
      <c r="O30" s="476"/>
      <c r="P30" s="490">
        <v>300</v>
      </c>
      <c r="Q30" s="476"/>
      <c r="R30" s="491">
        <f t="shared" si="4"/>
        <v>28.571428571428569</v>
      </c>
      <c r="S30" s="492"/>
      <c r="T30" s="491">
        <f t="shared" si="1"/>
        <v>7.5</v>
      </c>
      <c r="U30" s="493"/>
      <c r="W30" s="250"/>
    </row>
    <row r="31" spans="1:23" s="97" customFormat="1" x14ac:dyDescent="0.2">
      <c r="A31" s="475" t="s">
        <v>349</v>
      </c>
      <c r="B31" s="476"/>
      <c r="C31" s="476"/>
      <c r="D31" s="476"/>
      <c r="E31" s="476"/>
      <c r="F31" s="476"/>
      <c r="G31" s="476"/>
      <c r="H31" s="476"/>
      <c r="I31" s="476"/>
      <c r="J31" s="490">
        <v>0</v>
      </c>
      <c r="K31" s="476"/>
      <c r="L31" s="490">
        <v>0</v>
      </c>
      <c r="M31" s="476"/>
      <c r="N31" s="490">
        <v>484</v>
      </c>
      <c r="O31" s="476"/>
      <c r="P31" s="490">
        <v>0</v>
      </c>
      <c r="Q31" s="476"/>
      <c r="R31" s="491">
        <v>0</v>
      </c>
      <c r="S31" s="492"/>
      <c r="T31" s="491">
        <f>P31/N31*100</f>
        <v>0</v>
      </c>
      <c r="U31" s="493"/>
      <c r="W31" s="250"/>
    </row>
    <row r="32" spans="1:23" s="98" customFormat="1" x14ac:dyDescent="0.2">
      <c r="A32" s="455" t="s">
        <v>94</v>
      </c>
      <c r="B32" s="456"/>
      <c r="C32" s="456"/>
      <c r="D32" s="456"/>
      <c r="E32" s="456"/>
      <c r="F32" s="456"/>
      <c r="G32" s="456"/>
      <c r="H32" s="456"/>
      <c r="I32" s="456"/>
      <c r="J32" s="457">
        <f>SUM(J33:K33)</f>
        <v>0</v>
      </c>
      <c r="K32" s="456"/>
      <c r="L32" s="457">
        <f>SUM(L33:M33)</f>
        <v>0</v>
      </c>
      <c r="M32" s="456"/>
      <c r="N32" s="457">
        <f>SUM(N33:O33)</f>
        <v>0</v>
      </c>
      <c r="O32" s="456"/>
      <c r="P32" s="457">
        <f>SUM(P33:Q33)</f>
        <v>0</v>
      </c>
      <c r="Q32" s="456"/>
      <c r="R32" s="458">
        <v>0</v>
      </c>
      <c r="S32" s="505"/>
      <c r="T32" s="458">
        <v>0</v>
      </c>
      <c r="U32" s="463"/>
      <c r="W32" s="260"/>
    </row>
    <row r="33" spans="1:23" s="14" customFormat="1" ht="13.5" thickBot="1" x14ac:dyDescent="0.25">
      <c r="A33" s="475" t="s">
        <v>95</v>
      </c>
      <c r="B33" s="476"/>
      <c r="C33" s="476"/>
      <c r="D33" s="476"/>
      <c r="E33" s="476"/>
      <c r="F33" s="476"/>
      <c r="G33" s="476"/>
      <c r="H33" s="476"/>
      <c r="I33" s="476"/>
      <c r="J33" s="490">
        <v>0</v>
      </c>
      <c r="K33" s="476"/>
      <c r="L33" s="490">
        <v>0</v>
      </c>
      <c r="M33" s="476"/>
      <c r="N33" s="490">
        <v>0</v>
      </c>
      <c r="O33" s="476"/>
      <c r="P33" s="490">
        <v>0</v>
      </c>
      <c r="Q33" s="476"/>
      <c r="R33" s="491">
        <v>0</v>
      </c>
      <c r="S33" s="492"/>
      <c r="T33" s="491">
        <v>0</v>
      </c>
      <c r="U33" s="493"/>
      <c r="W33" s="250"/>
    </row>
    <row r="34" spans="1:23" s="103" customFormat="1" ht="13.5" thickBot="1" x14ac:dyDescent="0.25">
      <c r="A34" s="494" t="s">
        <v>236</v>
      </c>
      <c r="B34" s="496"/>
      <c r="C34" s="496"/>
      <c r="D34" s="496"/>
      <c r="E34" s="496"/>
      <c r="F34" s="496"/>
      <c r="G34" s="496"/>
      <c r="H34" s="496"/>
      <c r="I34" s="496"/>
      <c r="J34" s="503">
        <f>J14+J18+J21+J24+J29+J32</f>
        <v>1147169.7399999998</v>
      </c>
      <c r="K34" s="503"/>
      <c r="L34" s="503">
        <f>L14+L18+L21+L24+L29+L32</f>
        <v>2406235</v>
      </c>
      <c r="M34" s="503"/>
      <c r="N34" s="503">
        <f>N14+N18+N21+N24+N29+N32</f>
        <v>2639841</v>
      </c>
      <c r="O34" s="503"/>
      <c r="P34" s="503">
        <f>P14+P18+P21+P24+P29+P32</f>
        <v>1257743.1500000001</v>
      </c>
      <c r="Q34" s="503"/>
      <c r="R34" s="501">
        <f>P34/J34*100</f>
        <v>109.6388011420176</v>
      </c>
      <c r="S34" s="501"/>
      <c r="T34" s="501">
        <f t="shared" si="1"/>
        <v>47.644655492508839</v>
      </c>
      <c r="U34" s="504"/>
      <c r="W34" s="261"/>
    </row>
    <row r="35" spans="1:23" s="98" customFormat="1" ht="18.75" customHeight="1" thickBo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5"/>
      <c r="K35" s="145"/>
      <c r="L35" s="377"/>
      <c r="M35" s="377"/>
      <c r="N35" s="377"/>
      <c r="O35" s="377"/>
      <c r="P35" s="145"/>
      <c r="Q35" s="145"/>
      <c r="R35" s="146"/>
      <c r="S35" s="146"/>
      <c r="T35" s="146"/>
      <c r="U35" s="146"/>
      <c r="W35" s="260"/>
    </row>
    <row r="36" spans="1:23" s="103" customFormat="1" ht="13.5" thickBot="1" x14ac:dyDescent="0.25">
      <c r="A36" s="494" t="s">
        <v>239</v>
      </c>
      <c r="B36" s="495"/>
      <c r="C36" s="495"/>
      <c r="D36" s="495"/>
      <c r="E36" s="495"/>
      <c r="F36" s="495"/>
      <c r="G36" s="495"/>
      <c r="H36" s="495"/>
      <c r="I36" s="495"/>
      <c r="J36" s="496" t="s">
        <v>0</v>
      </c>
      <c r="K36" s="495"/>
      <c r="L36" s="497" t="s">
        <v>0</v>
      </c>
      <c r="M36" s="498"/>
      <c r="N36" s="497" t="s">
        <v>0</v>
      </c>
      <c r="O36" s="498"/>
      <c r="P36" s="496" t="s">
        <v>0</v>
      </c>
      <c r="Q36" s="495"/>
      <c r="R36" s="499"/>
      <c r="S36" s="500"/>
      <c r="T36" s="501"/>
      <c r="U36" s="502"/>
      <c r="W36" s="261"/>
    </row>
    <row r="37" spans="1:23" s="98" customFormat="1" x14ac:dyDescent="0.2">
      <c r="A37" s="487" t="s">
        <v>89</v>
      </c>
      <c r="B37" s="488"/>
      <c r="C37" s="488"/>
      <c r="D37" s="488"/>
      <c r="E37" s="488"/>
      <c r="F37" s="488"/>
      <c r="G37" s="488"/>
      <c r="H37" s="488"/>
      <c r="I37" s="488"/>
      <c r="J37" s="489">
        <f>SUM(J38:K40)</f>
        <v>124342.73999999999</v>
      </c>
      <c r="K37" s="488"/>
      <c r="L37" s="489">
        <f>SUM(L38:M40)</f>
        <v>284315</v>
      </c>
      <c r="M37" s="488"/>
      <c r="N37" s="489">
        <f>SUM(N38:O40)</f>
        <v>305876</v>
      </c>
      <c r="O37" s="488"/>
      <c r="P37" s="489">
        <f>SUM(P38:Q40)</f>
        <v>139479.02000000002</v>
      </c>
      <c r="Q37" s="488"/>
      <c r="R37" s="484">
        <f>P37/J37*100</f>
        <v>112.17303076962919</v>
      </c>
      <c r="S37" s="485"/>
      <c r="T37" s="484">
        <f t="shared" si="1"/>
        <v>45.599857458577993</v>
      </c>
      <c r="U37" s="486"/>
      <c r="W37" s="260"/>
    </row>
    <row r="38" spans="1:23" s="91" customFormat="1" x14ac:dyDescent="0.2">
      <c r="A38" s="467" t="s">
        <v>337</v>
      </c>
      <c r="B38" s="483"/>
      <c r="C38" s="483"/>
      <c r="D38" s="483"/>
      <c r="E38" s="483"/>
      <c r="F38" s="483"/>
      <c r="G38" s="483"/>
      <c r="H38" s="483"/>
      <c r="I38" s="483"/>
      <c r="J38" s="437">
        <f>49207.24</f>
        <v>49207.24</v>
      </c>
      <c r="K38" s="438"/>
      <c r="L38" s="437">
        <f>155435+6080</f>
        <v>161515</v>
      </c>
      <c r="M38" s="438"/>
      <c r="N38" s="437">
        <f>173685+6080</f>
        <v>179765</v>
      </c>
      <c r="O38" s="438"/>
      <c r="P38" s="437">
        <f>77453.43</f>
        <v>77453.429999999993</v>
      </c>
      <c r="Q38" s="438"/>
      <c r="R38" s="460">
        <f>P38/J38*100</f>
        <v>157.40250824878615</v>
      </c>
      <c r="S38" s="468"/>
      <c r="T38" s="460">
        <f t="shared" si="1"/>
        <v>43.085934414374314</v>
      </c>
      <c r="U38" s="461"/>
      <c r="W38" s="251"/>
    </row>
    <row r="39" spans="1:23" s="91" customFormat="1" x14ac:dyDescent="0.2">
      <c r="A39" s="420" t="s">
        <v>338</v>
      </c>
      <c r="B39" s="421"/>
      <c r="C39" s="421"/>
      <c r="D39" s="421"/>
      <c r="E39" s="421"/>
      <c r="F39" s="421"/>
      <c r="G39" s="421"/>
      <c r="H39" s="421"/>
      <c r="I39" s="421"/>
      <c r="J39" s="422">
        <v>0</v>
      </c>
      <c r="K39" s="423"/>
      <c r="L39" s="424">
        <v>112360</v>
      </c>
      <c r="M39" s="425"/>
      <c r="N39" s="424">
        <v>115671</v>
      </c>
      <c r="O39" s="425"/>
      <c r="P39" s="424">
        <v>56243.08</v>
      </c>
      <c r="Q39" s="425"/>
      <c r="R39" s="426">
        <v>0</v>
      </c>
      <c r="S39" s="547"/>
      <c r="T39" s="426">
        <f t="shared" ref="T39" si="7">P39/N39*100</f>
        <v>48.623319587450617</v>
      </c>
      <c r="U39" s="427"/>
      <c r="W39" s="251"/>
    </row>
    <row r="40" spans="1:23" s="91" customFormat="1" x14ac:dyDescent="0.2">
      <c r="A40" s="420" t="s">
        <v>339</v>
      </c>
      <c r="B40" s="421"/>
      <c r="C40" s="421"/>
      <c r="D40" s="421"/>
      <c r="E40" s="421"/>
      <c r="F40" s="421"/>
      <c r="G40" s="421"/>
      <c r="H40" s="421"/>
      <c r="I40" s="421"/>
      <c r="J40" s="477">
        <f>68650.2+6171.68+313.62</f>
        <v>75135.5</v>
      </c>
      <c r="K40" s="478"/>
      <c r="L40" s="477">
        <v>10440</v>
      </c>
      <c r="M40" s="479"/>
      <c r="N40" s="477">
        <v>10440</v>
      </c>
      <c r="O40" s="479"/>
      <c r="P40" s="477">
        <v>5782.51</v>
      </c>
      <c r="Q40" s="479"/>
      <c r="R40" s="480">
        <f>P40/J40*100</f>
        <v>7.696109029686367</v>
      </c>
      <c r="S40" s="481"/>
      <c r="T40" s="480">
        <f t="shared" si="1"/>
        <v>55.388026819923375</v>
      </c>
      <c r="U40" s="482"/>
      <c r="W40" s="251"/>
    </row>
    <row r="41" spans="1:23" s="99" customFormat="1" x14ac:dyDescent="0.2">
      <c r="A41" s="455" t="s">
        <v>90</v>
      </c>
      <c r="B41" s="456"/>
      <c r="C41" s="456"/>
      <c r="D41" s="456"/>
      <c r="E41" s="456"/>
      <c r="F41" s="456"/>
      <c r="G41" s="456"/>
      <c r="H41" s="456"/>
      <c r="I41" s="456"/>
      <c r="J41" s="457">
        <f>SUM(J42:K43)</f>
        <v>710.35</v>
      </c>
      <c r="K41" s="456"/>
      <c r="L41" s="457">
        <f>SUM(L42:M43)</f>
        <v>18000</v>
      </c>
      <c r="M41" s="456"/>
      <c r="N41" s="457">
        <f>SUM(N42:O43)</f>
        <v>18000</v>
      </c>
      <c r="O41" s="456"/>
      <c r="P41" s="457">
        <f>SUM(P42:Q43)</f>
        <v>1392.03</v>
      </c>
      <c r="Q41" s="456"/>
      <c r="R41" s="458">
        <f t="shared" ref="R41:R53" si="8">P41/J41*100</f>
        <v>195.96396142746534</v>
      </c>
      <c r="S41" s="459"/>
      <c r="T41" s="458">
        <f t="shared" si="1"/>
        <v>7.7335000000000003</v>
      </c>
      <c r="U41" s="463"/>
      <c r="W41" s="262"/>
    </row>
    <row r="42" spans="1:23" s="91" customFormat="1" x14ac:dyDescent="0.2">
      <c r="A42" s="467" t="s">
        <v>340</v>
      </c>
      <c r="B42" s="438"/>
      <c r="C42" s="438"/>
      <c r="D42" s="438"/>
      <c r="E42" s="438"/>
      <c r="F42" s="438"/>
      <c r="G42" s="438"/>
      <c r="H42" s="438"/>
      <c r="I42" s="438"/>
      <c r="J42" s="437">
        <v>710.35</v>
      </c>
      <c r="K42" s="438"/>
      <c r="L42" s="437">
        <v>18000</v>
      </c>
      <c r="M42" s="438"/>
      <c r="N42" s="437">
        <v>18000</v>
      </c>
      <c r="O42" s="438"/>
      <c r="P42" s="437">
        <v>1392.03</v>
      </c>
      <c r="Q42" s="438"/>
      <c r="R42" s="460">
        <f t="shared" si="8"/>
        <v>195.96396142746534</v>
      </c>
      <c r="S42" s="468"/>
      <c r="T42" s="460">
        <f t="shared" si="1"/>
        <v>7.7335000000000003</v>
      </c>
      <c r="U42" s="461"/>
      <c r="W42" s="251"/>
    </row>
    <row r="43" spans="1:23" s="91" customFormat="1" x14ac:dyDescent="0.2">
      <c r="A43" s="475" t="s">
        <v>341</v>
      </c>
      <c r="B43" s="476"/>
      <c r="C43" s="476"/>
      <c r="D43" s="476"/>
      <c r="E43" s="476"/>
      <c r="F43" s="476"/>
      <c r="G43" s="476"/>
      <c r="H43" s="476"/>
      <c r="I43" s="476"/>
      <c r="J43" s="462">
        <v>0</v>
      </c>
      <c r="K43" s="462"/>
      <c r="L43" s="462">
        <v>0</v>
      </c>
      <c r="M43" s="462"/>
      <c r="N43" s="462">
        <v>0</v>
      </c>
      <c r="O43" s="462"/>
      <c r="P43" s="462">
        <v>0</v>
      </c>
      <c r="Q43" s="462"/>
      <c r="R43" s="446">
        <v>0</v>
      </c>
      <c r="S43" s="447"/>
      <c r="T43" s="446">
        <v>0</v>
      </c>
      <c r="U43" s="448"/>
      <c r="W43" s="251"/>
    </row>
    <row r="44" spans="1:23" s="99" customFormat="1" x14ac:dyDescent="0.2">
      <c r="A44" s="455" t="s">
        <v>91</v>
      </c>
      <c r="B44" s="456"/>
      <c r="C44" s="456"/>
      <c r="D44" s="456"/>
      <c r="E44" s="456"/>
      <c r="F44" s="456"/>
      <c r="G44" s="456"/>
      <c r="H44" s="456"/>
      <c r="I44" s="456"/>
      <c r="J44" s="457">
        <f>SUM(J45:K46)</f>
        <v>35784.300000000003</v>
      </c>
      <c r="K44" s="456"/>
      <c r="L44" s="457">
        <f>SUM(L45:M46)</f>
        <v>57830</v>
      </c>
      <c r="M44" s="456"/>
      <c r="N44" s="457">
        <f>SUM(N45:O46)</f>
        <v>63581</v>
      </c>
      <c r="O44" s="456"/>
      <c r="P44" s="457">
        <f>SUM(P45:Q46)</f>
        <v>15996.06</v>
      </c>
      <c r="Q44" s="456"/>
      <c r="R44" s="458">
        <f t="shared" si="8"/>
        <v>44.701335501882106</v>
      </c>
      <c r="S44" s="459"/>
      <c r="T44" s="458">
        <f t="shared" si="1"/>
        <v>25.158553655966404</v>
      </c>
      <c r="U44" s="463"/>
      <c r="W44" s="262"/>
    </row>
    <row r="45" spans="1:23" s="91" customFormat="1" x14ac:dyDescent="0.2">
      <c r="A45" s="467" t="s">
        <v>343</v>
      </c>
      <c r="B45" s="438"/>
      <c r="C45" s="438"/>
      <c r="D45" s="438"/>
      <c r="E45" s="438"/>
      <c r="F45" s="438"/>
      <c r="G45" s="438"/>
      <c r="H45" s="438"/>
      <c r="I45" s="438"/>
      <c r="J45" s="437">
        <v>31983.3</v>
      </c>
      <c r="K45" s="438"/>
      <c r="L45" s="437">
        <v>57830</v>
      </c>
      <c r="M45" s="438"/>
      <c r="N45" s="437">
        <v>57830</v>
      </c>
      <c r="O45" s="438"/>
      <c r="P45" s="437">
        <v>15996.06</v>
      </c>
      <c r="Q45" s="438"/>
      <c r="R45" s="460">
        <f t="shared" si="8"/>
        <v>50.013788445845172</v>
      </c>
      <c r="S45" s="468"/>
      <c r="T45" s="460">
        <f t="shared" si="1"/>
        <v>27.660487636174995</v>
      </c>
      <c r="U45" s="461"/>
      <c r="W45" s="251"/>
    </row>
    <row r="46" spans="1:23" s="91" customFormat="1" x14ac:dyDescent="0.2">
      <c r="A46" s="420" t="s">
        <v>342</v>
      </c>
      <c r="B46" s="421"/>
      <c r="C46" s="421"/>
      <c r="D46" s="421"/>
      <c r="E46" s="421"/>
      <c r="F46" s="421"/>
      <c r="G46" s="421"/>
      <c r="H46" s="421"/>
      <c r="I46" s="421"/>
      <c r="J46" s="462">
        <v>3801</v>
      </c>
      <c r="K46" s="421"/>
      <c r="L46" s="462">
        <v>0</v>
      </c>
      <c r="M46" s="421"/>
      <c r="N46" s="462">
        <v>5751</v>
      </c>
      <c r="O46" s="421"/>
      <c r="P46" s="462">
        <v>0</v>
      </c>
      <c r="Q46" s="421"/>
      <c r="R46" s="464">
        <f t="shared" si="8"/>
        <v>0</v>
      </c>
      <c r="S46" s="465"/>
      <c r="T46" s="464">
        <f t="shared" si="1"/>
        <v>0</v>
      </c>
      <c r="U46" s="466"/>
      <c r="W46" s="251"/>
    </row>
    <row r="47" spans="1:23" s="99" customFormat="1" x14ac:dyDescent="0.2">
      <c r="A47" s="455" t="s">
        <v>92</v>
      </c>
      <c r="B47" s="456"/>
      <c r="C47" s="456"/>
      <c r="D47" s="456"/>
      <c r="E47" s="456"/>
      <c r="F47" s="456"/>
      <c r="G47" s="456"/>
      <c r="H47" s="456"/>
      <c r="I47" s="456"/>
      <c r="J47" s="457">
        <f>SUM(J48:K51)</f>
        <v>1162324.5</v>
      </c>
      <c r="K47" s="456"/>
      <c r="L47" s="457">
        <f>SUM(L48:M51)</f>
        <v>2042090</v>
      </c>
      <c r="M47" s="456"/>
      <c r="N47" s="457">
        <f>SUM(N48:O51)</f>
        <v>2042880</v>
      </c>
      <c r="O47" s="456"/>
      <c r="P47" s="457">
        <f>SUM(P48:Q51)</f>
        <v>1087703.17</v>
      </c>
      <c r="Q47" s="456"/>
      <c r="R47" s="458">
        <f t="shared" si="8"/>
        <v>93.579991646050644</v>
      </c>
      <c r="S47" s="459"/>
      <c r="T47" s="458">
        <f t="shared" si="1"/>
        <v>53.243615386121547</v>
      </c>
      <c r="U47" s="463"/>
      <c r="W47" s="262"/>
    </row>
    <row r="48" spans="1:23" s="91" customFormat="1" x14ac:dyDescent="0.2">
      <c r="A48" s="431" t="s">
        <v>344</v>
      </c>
      <c r="B48" s="432"/>
      <c r="C48" s="432"/>
      <c r="D48" s="432"/>
      <c r="E48" s="432"/>
      <c r="F48" s="432"/>
      <c r="G48" s="432"/>
      <c r="H48" s="432"/>
      <c r="I48" s="432"/>
      <c r="J48" s="433">
        <f>4698.47+1095804.42+47894.75+11.09</f>
        <v>1148408.73</v>
      </c>
      <c r="K48" s="432"/>
      <c r="L48" s="433">
        <f>8090+1966100</f>
        <v>1974190</v>
      </c>
      <c r="M48" s="432"/>
      <c r="N48" s="433">
        <v>1974190</v>
      </c>
      <c r="O48" s="432"/>
      <c r="P48" s="433">
        <f>4545.88+1049322.58</f>
        <v>1053868.46</v>
      </c>
      <c r="Q48" s="432"/>
      <c r="R48" s="434">
        <f t="shared" si="8"/>
        <v>91.767715837548536</v>
      </c>
      <c r="S48" s="435"/>
      <c r="T48" s="434">
        <f t="shared" si="1"/>
        <v>53.382321863650404</v>
      </c>
      <c r="U48" s="436"/>
      <c r="W48" s="251"/>
    </row>
    <row r="49" spans="1:23" s="91" customFormat="1" x14ac:dyDescent="0.2">
      <c r="A49" s="428" t="s">
        <v>345</v>
      </c>
      <c r="B49" s="429"/>
      <c r="C49" s="429"/>
      <c r="D49" s="429"/>
      <c r="E49" s="429"/>
      <c r="F49" s="429"/>
      <c r="G49" s="429"/>
      <c r="H49" s="429"/>
      <c r="I49" s="430"/>
      <c r="J49" s="424">
        <v>0</v>
      </c>
      <c r="K49" s="425"/>
      <c r="L49" s="424">
        <v>7900</v>
      </c>
      <c r="M49" s="425"/>
      <c r="N49" s="424">
        <v>7900</v>
      </c>
      <c r="O49" s="425"/>
      <c r="P49" s="424">
        <v>385</v>
      </c>
      <c r="Q49" s="425"/>
      <c r="R49" s="426">
        <v>0</v>
      </c>
      <c r="S49" s="547"/>
      <c r="T49" s="426">
        <f t="shared" ref="T49:T50" si="9">P49/N49*100</f>
        <v>4.8734177215189876</v>
      </c>
      <c r="U49" s="427"/>
      <c r="W49" s="251"/>
    </row>
    <row r="50" spans="1:23" s="91" customFormat="1" x14ac:dyDescent="0.2">
      <c r="A50" s="428" t="s">
        <v>346</v>
      </c>
      <c r="B50" s="429"/>
      <c r="C50" s="429"/>
      <c r="D50" s="429"/>
      <c r="E50" s="429"/>
      <c r="F50" s="429"/>
      <c r="G50" s="429"/>
      <c r="H50" s="429"/>
      <c r="I50" s="430"/>
      <c r="J50" s="424">
        <v>0</v>
      </c>
      <c r="K50" s="425"/>
      <c r="L50" s="424">
        <v>60000</v>
      </c>
      <c r="M50" s="425"/>
      <c r="N50" s="424">
        <v>60000</v>
      </c>
      <c r="O50" s="425"/>
      <c r="P50" s="424">
        <v>33449.71</v>
      </c>
      <c r="Q50" s="425"/>
      <c r="R50" s="426">
        <v>0</v>
      </c>
      <c r="S50" s="547"/>
      <c r="T50" s="426">
        <f t="shared" si="9"/>
        <v>55.749516666666665</v>
      </c>
      <c r="U50" s="427"/>
      <c r="W50" s="251"/>
    </row>
    <row r="51" spans="1:23" s="403" customFormat="1" ht="25.5" customHeight="1" x14ac:dyDescent="0.2">
      <c r="A51" s="469" t="s">
        <v>347</v>
      </c>
      <c r="B51" s="470"/>
      <c r="C51" s="470"/>
      <c r="D51" s="470"/>
      <c r="E51" s="470"/>
      <c r="F51" s="470"/>
      <c r="G51" s="470"/>
      <c r="H51" s="470"/>
      <c r="I51" s="470"/>
      <c r="J51" s="471">
        <f>12430.2+1485.57</f>
        <v>13915.77</v>
      </c>
      <c r="K51" s="470"/>
      <c r="L51" s="471">
        <v>0</v>
      </c>
      <c r="M51" s="470"/>
      <c r="N51" s="471">
        <v>790</v>
      </c>
      <c r="O51" s="470"/>
      <c r="P51" s="471">
        <v>0</v>
      </c>
      <c r="Q51" s="470"/>
      <c r="R51" s="472">
        <f t="shared" si="8"/>
        <v>0</v>
      </c>
      <c r="S51" s="473"/>
      <c r="T51" s="472">
        <f t="shared" si="1"/>
        <v>0</v>
      </c>
      <c r="U51" s="474"/>
      <c r="W51" s="404"/>
    </row>
    <row r="52" spans="1:23" s="99" customFormat="1" x14ac:dyDescent="0.2">
      <c r="A52" s="455" t="s">
        <v>93</v>
      </c>
      <c r="B52" s="456"/>
      <c r="C52" s="456"/>
      <c r="D52" s="456"/>
      <c r="E52" s="456"/>
      <c r="F52" s="456"/>
      <c r="G52" s="456"/>
      <c r="H52" s="456"/>
      <c r="I52" s="456"/>
      <c r="J52" s="457">
        <f>SUM(J53:K54)</f>
        <v>720</v>
      </c>
      <c r="K52" s="456"/>
      <c r="L52" s="457">
        <f>SUM(L53:M54)</f>
        <v>4000</v>
      </c>
      <c r="M52" s="456"/>
      <c r="N52" s="457">
        <f>SUM(N53:O54)</f>
        <v>4484</v>
      </c>
      <c r="O52" s="456"/>
      <c r="P52" s="457">
        <f>SUM(P53:Q54)</f>
        <v>510</v>
      </c>
      <c r="Q52" s="456"/>
      <c r="R52" s="458">
        <f t="shared" si="8"/>
        <v>70.833333333333343</v>
      </c>
      <c r="S52" s="459"/>
      <c r="T52" s="458">
        <f t="shared" si="1"/>
        <v>11.373773416592329</v>
      </c>
      <c r="U52" s="463"/>
      <c r="W52" s="262"/>
    </row>
    <row r="53" spans="1:23" s="91" customFormat="1" x14ac:dyDescent="0.2">
      <c r="A53" s="467" t="s">
        <v>348</v>
      </c>
      <c r="B53" s="438"/>
      <c r="C53" s="438"/>
      <c r="D53" s="438"/>
      <c r="E53" s="438"/>
      <c r="F53" s="438"/>
      <c r="G53" s="438"/>
      <c r="H53" s="438"/>
      <c r="I53" s="438"/>
      <c r="J53" s="437">
        <v>720</v>
      </c>
      <c r="K53" s="438"/>
      <c r="L53" s="437">
        <v>4000</v>
      </c>
      <c r="M53" s="438"/>
      <c r="N53" s="437">
        <v>4000</v>
      </c>
      <c r="O53" s="438"/>
      <c r="P53" s="437">
        <v>510</v>
      </c>
      <c r="Q53" s="438"/>
      <c r="R53" s="460">
        <f t="shared" si="8"/>
        <v>70.833333333333343</v>
      </c>
      <c r="S53" s="468"/>
      <c r="T53" s="460">
        <f t="shared" si="1"/>
        <v>12.75</v>
      </c>
      <c r="U53" s="461"/>
      <c r="W53" s="251"/>
    </row>
    <row r="54" spans="1:23" s="91" customFormat="1" x14ac:dyDescent="0.2">
      <c r="A54" s="420" t="s">
        <v>351</v>
      </c>
      <c r="B54" s="421"/>
      <c r="C54" s="421"/>
      <c r="D54" s="421"/>
      <c r="E54" s="421"/>
      <c r="F54" s="421"/>
      <c r="G54" s="421"/>
      <c r="H54" s="421"/>
      <c r="I54" s="421"/>
      <c r="J54" s="462">
        <v>0</v>
      </c>
      <c r="K54" s="421"/>
      <c r="L54" s="462">
        <v>0</v>
      </c>
      <c r="M54" s="421"/>
      <c r="N54" s="462">
        <v>484</v>
      </c>
      <c r="O54" s="421"/>
      <c r="P54" s="462">
        <v>0</v>
      </c>
      <c r="Q54" s="421"/>
      <c r="R54" s="464">
        <v>0</v>
      </c>
      <c r="S54" s="465"/>
      <c r="T54" s="464">
        <f>P54/N54*100</f>
        <v>0</v>
      </c>
      <c r="U54" s="466"/>
      <c r="W54" s="251"/>
    </row>
    <row r="55" spans="1:23" s="99" customFormat="1" x14ac:dyDescent="0.2">
      <c r="A55" s="455" t="s">
        <v>94</v>
      </c>
      <c r="B55" s="456"/>
      <c r="C55" s="456"/>
      <c r="D55" s="456"/>
      <c r="E55" s="456"/>
      <c r="F55" s="456"/>
      <c r="G55" s="456"/>
      <c r="H55" s="456"/>
      <c r="I55" s="456"/>
      <c r="J55" s="457">
        <f>SUM(J56:K56)</f>
        <v>0</v>
      </c>
      <c r="K55" s="456"/>
      <c r="L55" s="457">
        <f>SUM(L56:M56)</f>
        <v>0</v>
      </c>
      <c r="M55" s="456"/>
      <c r="N55" s="457">
        <f>SUM(N56:O56)</f>
        <v>0</v>
      </c>
      <c r="O55" s="456"/>
      <c r="P55" s="457">
        <f>SUM(P56:Q56)</f>
        <v>0</v>
      </c>
      <c r="Q55" s="456"/>
      <c r="R55" s="458">
        <v>0</v>
      </c>
      <c r="S55" s="459"/>
      <c r="T55" s="458">
        <v>0</v>
      </c>
      <c r="U55" s="463"/>
      <c r="W55" s="262"/>
    </row>
    <row r="56" spans="1:23" s="91" customFormat="1" ht="13.5" thickBot="1" x14ac:dyDescent="0.25">
      <c r="A56" s="449" t="s">
        <v>95</v>
      </c>
      <c r="B56" s="450"/>
      <c r="C56" s="450"/>
      <c r="D56" s="450"/>
      <c r="E56" s="450"/>
      <c r="F56" s="450"/>
      <c r="G56" s="450"/>
      <c r="H56" s="450"/>
      <c r="I56" s="450"/>
      <c r="J56" s="451">
        <v>0</v>
      </c>
      <c r="K56" s="450"/>
      <c r="L56" s="451">
        <v>0</v>
      </c>
      <c r="M56" s="450"/>
      <c r="N56" s="451">
        <v>0</v>
      </c>
      <c r="O56" s="450"/>
      <c r="P56" s="451">
        <v>0</v>
      </c>
      <c r="Q56" s="450"/>
      <c r="R56" s="452">
        <v>0</v>
      </c>
      <c r="S56" s="453"/>
      <c r="T56" s="452">
        <v>0</v>
      </c>
      <c r="U56" s="454"/>
      <c r="W56" s="251"/>
    </row>
    <row r="57" spans="1:23" s="177" customFormat="1" ht="13.5" thickBot="1" x14ac:dyDescent="0.25">
      <c r="A57" s="441" t="s">
        <v>237</v>
      </c>
      <c r="B57" s="442"/>
      <c r="C57" s="442"/>
      <c r="D57" s="442"/>
      <c r="E57" s="442"/>
      <c r="F57" s="442"/>
      <c r="G57" s="442"/>
      <c r="H57" s="442"/>
      <c r="I57" s="442"/>
      <c r="J57" s="443">
        <f>J37+J41+J44+J47+J52+J55</f>
        <v>1323881.8900000001</v>
      </c>
      <c r="K57" s="444"/>
      <c r="L57" s="443">
        <f>L37+L41+L44+L47+L52+L55</f>
        <v>2406235</v>
      </c>
      <c r="M57" s="444"/>
      <c r="N57" s="443">
        <f>N37+N41+N44+N47+N52+N55</f>
        <v>2434821</v>
      </c>
      <c r="O57" s="444"/>
      <c r="P57" s="443">
        <f>P37+P41+P44+P47+P52+P55</f>
        <v>1245080.28</v>
      </c>
      <c r="Q57" s="444"/>
      <c r="R57" s="439">
        <f>P57/J57*100</f>
        <v>94.04768577958265</v>
      </c>
      <c r="S57" s="445"/>
      <c r="T57" s="439">
        <f t="shared" si="1"/>
        <v>51.136419473957226</v>
      </c>
      <c r="U57" s="440"/>
      <c r="W57" s="263"/>
    </row>
    <row r="58" spans="1:23" s="92" customFormat="1" ht="13.5" thickTop="1" x14ac:dyDescent="0.2">
      <c r="J58" s="40"/>
      <c r="K58" s="40"/>
      <c r="P58" s="40"/>
      <c r="Q58" s="40"/>
      <c r="R58" s="40"/>
      <c r="S58" s="40"/>
      <c r="T58" s="40"/>
      <c r="U58" s="40"/>
      <c r="W58" s="264"/>
    </row>
    <row r="59" spans="1:23" x14ac:dyDescent="0.2">
      <c r="R59" s="40"/>
      <c r="S59" s="40"/>
      <c r="T59" s="40"/>
      <c r="U59" s="40"/>
    </row>
    <row r="60" spans="1:23" x14ac:dyDescent="0.2">
      <c r="R60" s="40"/>
      <c r="S60" s="40"/>
      <c r="T60" s="40"/>
      <c r="U60" s="40"/>
    </row>
  </sheetData>
  <mergeCells count="328">
    <mergeCell ref="N27:O27"/>
    <mergeCell ref="P27:Q27"/>
    <mergeCell ref="R27:S27"/>
    <mergeCell ref="T27:U27"/>
    <mergeCell ref="N16:O16"/>
    <mergeCell ref="P16:Q16"/>
    <mergeCell ref="R16:S16"/>
    <mergeCell ref="T16:U16"/>
    <mergeCell ref="A26:I26"/>
    <mergeCell ref="J26:K26"/>
    <mergeCell ref="L26:M26"/>
    <mergeCell ref="N26:O26"/>
    <mergeCell ref="P26:Q26"/>
    <mergeCell ref="R26:S26"/>
    <mergeCell ref="T26:U26"/>
    <mergeCell ref="R18:S18"/>
    <mergeCell ref="T18:U18"/>
    <mergeCell ref="A18:I18"/>
    <mergeCell ref="J18:K18"/>
    <mergeCell ref="L18:M18"/>
    <mergeCell ref="N18:O18"/>
    <mergeCell ref="P18:Q18"/>
    <mergeCell ref="N19:O19"/>
    <mergeCell ref="P19:Q19"/>
    <mergeCell ref="T15:U15"/>
    <mergeCell ref="R15:S15"/>
    <mergeCell ref="P15:Q15"/>
    <mergeCell ref="N15:O15"/>
    <mergeCell ref="L15:M15"/>
    <mergeCell ref="J15:K15"/>
    <mergeCell ref="A15:I15"/>
    <mergeCell ref="A17:I17"/>
    <mergeCell ref="J17:K17"/>
    <mergeCell ref="L17:M17"/>
    <mergeCell ref="N17:O17"/>
    <mergeCell ref="P17:Q17"/>
    <mergeCell ref="R17:S17"/>
    <mergeCell ref="T17:U17"/>
    <mergeCell ref="A16:I16"/>
    <mergeCell ref="J16:K16"/>
    <mergeCell ref="L16:M16"/>
    <mergeCell ref="A7:U7"/>
    <mergeCell ref="A5:U5"/>
    <mergeCell ref="L11:M11"/>
    <mergeCell ref="N11:O11"/>
    <mergeCell ref="P11:Q11"/>
    <mergeCell ref="R11:S11"/>
    <mergeCell ref="A10:U10"/>
    <mergeCell ref="T11:U11"/>
    <mergeCell ref="A6:U6"/>
    <mergeCell ref="A8:U8"/>
    <mergeCell ref="A9:U9"/>
    <mergeCell ref="A12:I12"/>
    <mergeCell ref="J12:K12"/>
    <mergeCell ref="L12:M12"/>
    <mergeCell ref="N12:O12"/>
    <mergeCell ref="P12:Q12"/>
    <mergeCell ref="R12:S12"/>
    <mergeCell ref="T12:U12"/>
    <mergeCell ref="A11:I11"/>
    <mergeCell ref="J11:K11"/>
    <mergeCell ref="R14:S14"/>
    <mergeCell ref="T14:U14"/>
    <mergeCell ref="A13:I13"/>
    <mergeCell ref="J13:K13"/>
    <mergeCell ref="L13:M13"/>
    <mergeCell ref="N13:O13"/>
    <mergeCell ref="P13:Q13"/>
    <mergeCell ref="R13:S13"/>
    <mergeCell ref="T13:U13"/>
    <mergeCell ref="A14:I14"/>
    <mergeCell ref="J14:K14"/>
    <mergeCell ref="L14:M14"/>
    <mergeCell ref="N14:O14"/>
    <mergeCell ref="P14:Q14"/>
    <mergeCell ref="R19:S19"/>
    <mergeCell ref="T19:U19"/>
    <mergeCell ref="A21:I21"/>
    <mergeCell ref="J21:K21"/>
    <mergeCell ref="L21:M21"/>
    <mergeCell ref="N21:O21"/>
    <mergeCell ref="P21:Q21"/>
    <mergeCell ref="R21:S21"/>
    <mergeCell ref="T21:U21"/>
    <mergeCell ref="A20:I20"/>
    <mergeCell ref="J20:K20"/>
    <mergeCell ref="L20:M20"/>
    <mergeCell ref="N20:O20"/>
    <mergeCell ref="P20:Q20"/>
    <mergeCell ref="R20:S20"/>
    <mergeCell ref="T20:U20"/>
    <mergeCell ref="A19:I19"/>
    <mergeCell ref="J19:K19"/>
    <mergeCell ref="L19:M19"/>
    <mergeCell ref="A22:I22"/>
    <mergeCell ref="J22:K22"/>
    <mergeCell ref="L22:M22"/>
    <mergeCell ref="N22:O22"/>
    <mergeCell ref="P22:Q22"/>
    <mergeCell ref="R22:S22"/>
    <mergeCell ref="T22:U22"/>
    <mergeCell ref="A24:I24"/>
    <mergeCell ref="J24:K24"/>
    <mergeCell ref="L24:M24"/>
    <mergeCell ref="N24:O24"/>
    <mergeCell ref="P24:Q24"/>
    <mergeCell ref="R24:S24"/>
    <mergeCell ref="T24:U24"/>
    <mergeCell ref="A23:I23"/>
    <mergeCell ref="J23:K23"/>
    <mergeCell ref="L23:M23"/>
    <mergeCell ref="N23:O23"/>
    <mergeCell ref="P23:Q23"/>
    <mergeCell ref="R23:S23"/>
    <mergeCell ref="T23:U23"/>
    <mergeCell ref="A25:I25"/>
    <mergeCell ref="J25:K25"/>
    <mergeCell ref="L25:M25"/>
    <mergeCell ref="N25:O25"/>
    <mergeCell ref="P25:Q25"/>
    <mergeCell ref="R25:S25"/>
    <mergeCell ref="T25:U25"/>
    <mergeCell ref="A29:I29"/>
    <mergeCell ref="J29:K29"/>
    <mergeCell ref="L29:M29"/>
    <mergeCell ref="N29:O29"/>
    <mergeCell ref="P29:Q29"/>
    <mergeCell ref="R29:S29"/>
    <mergeCell ref="T29:U29"/>
    <mergeCell ref="A28:I28"/>
    <mergeCell ref="J28:K28"/>
    <mergeCell ref="L28:M28"/>
    <mergeCell ref="N28:O28"/>
    <mergeCell ref="P28:Q28"/>
    <mergeCell ref="R28:S28"/>
    <mergeCell ref="T28:U28"/>
    <mergeCell ref="A27:I27"/>
    <mergeCell ref="J27:K27"/>
    <mergeCell ref="L27:M27"/>
    <mergeCell ref="A30:I30"/>
    <mergeCell ref="J30:K30"/>
    <mergeCell ref="L30:M30"/>
    <mergeCell ref="N30:O30"/>
    <mergeCell ref="P30:Q30"/>
    <mergeCell ref="R30:S30"/>
    <mergeCell ref="T30:U30"/>
    <mergeCell ref="A32:I32"/>
    <mergeCell ref="J32:K32"/>
    <mergeCell ref="L32:M32"/>
    <mergeCell ref="N32:O32"/>
    <mergeCell ref="P32:Q32"/>
    <mergeCell ref="R32:S32"/>
    <mergeCell ref="A31:I31"/>
    <mergeCell ref="J31:K31"/>
    <mergeCell ref="L31:M31"/>
    <mergeCell ref="N31:O31"/>
    <mergeCell ref="P31:Q31"/>
    <mergeCell ref="R31:S31"/>
    <mergeCell ref="T31:U31"/>
    <mergeCell ref="L33:M33"/>
    <mergeCell ref="N33:O33"/>
    <mergeCell ref="P33:Q33"/>
    <mergeCell ref="R33:S33"/>
    <mergeCell ref="T32:U32"/>
    <mergeCell ref="T33:U33"/>
    <mergeCell ref="A36:I36"/>
    <mergeCell ref="J36:K36"/>
    <mergeCell ref="L36:M36"/>
    <mergeCell ref="N36:O36"/>
    <mergeCell ref="P36:Q36"/>
    <mergeCell ref="R36:S36"/>
    <mergeCell ref="T36:U36"/>
    <mergeCell ref="A33:I33"/>
    <mergeCell ref="J33:K33"/>
    <mergeCell ref="A34:I34"/>
    <mergeCell ref="J34:K34"/>
    <mergeCell ref="L34:M34"/>
    <mergeCell ref="N34:O34"/>
    <mergeCell ref="P34:Q34"/>
    <mergeCell ref="R34:S34"/>
    <mergeCell ref="T34:U34"/>
    <mergeCell ref="A38:I38"/>
    <mergeCell ref="J38:K38"/>
    <mergeCell ref="R37:S37"/>
    <mergeCell ref="T37:U37"/>
    <mergeCell ref="L38:M38"/>
    <mergeCell ref="N38:O38"/>
    <mergeCell ref="P38:Q38"/>
    <mergeCell ref="R38:S38"/>
    <mergeCell ref="A37:I37"/>
    <mergeCell ref="J37:K37"/>
    <mergeCell ref="L37:M37"/>
    <mergeCell ref="N37:O37"/>
    <mergeCell ref="P37:Q37"/>
    <mergeCell ref="T38:U38"/>
    <mergeCell ref="P41:Q41"/>
    <mergeCell ref="R41:S41"/>
    <mergeCell ref="A40:I40"/>
    <mergeCell ref="J40:K40"/>
    <mergeCell ref="L40:M40"/>
    <mergeCell ref="N40:O40"/>
    <mergeCell ref="P40:Q40"/>
    <mergeCell ref="R40:S40"/>
    <mergeCell ref="T40:U40"/>
    <mergeCell ref="T41:U41"/>
    <mergeCell ref="A41:I41"/>
    <mergeCell ref="J41:K41"/>
    <mergeCell ref="L41:M41"/>
    <mergeCell ref="N41:O41"/>
    <mergeCell ref="R42:S42"/>
    <mergeCell ref="T42:U42"/>
    <mergeCell ref="L44:M44"/>
    <mergeCell ref="N44:O44"/>
    <mergeCell ref="P44:Q44"/>
    <mergeCell ref="R44:S44"/>
    <mergeCell ref="A42:I42"/>
    <mergeCell ref="J42:K42"/>
    <mergeCell ref="L42:M42"/>
    <mergeCell ref="N42:O42"/>
    <mergeCell ref="P42:Q42"/>
    <mergeCell ref="T44:U44"/>
    <mergeCell ref="A43:I43"/>
    <mergeCell ref="J43:K43"/>
    <mergeCell ref="L43:M43"/>
    <mergeCell ref="N43:O43"/>
    <mergeCell ref="P43:Q43"/>
    <mergeCell ref="A44:I44"/>
    <mergeCell ref="J44:K44"/>
    <mergeCell ref="R45:S45"/>
    <mergeCell ref="T45:U45"/>
    <mergeCell ref="A45:I45"/>
    <mergeCell ref="J45:K45"/>
    <mergeCell ref="R47:S47"/>
    <mergeCell ref="T47:U47"/>
    <mergeCell ref="A46:I46"/>
    <mergeCell ref="J46:K46"/>
    <mergeCell ref="L46:M46"/>
    <mergeCell ref="N46:O46"/>
    <mergeCell ref="P46:Q46"/>
    <mergeCell ref="R46:S46"/>
    <mergeCell ref="T46:U46"/>
    <mergeCell ref="A47:I47"/>
    <mergeCell ref="J47:K47"/>
    <mergeCell ref="L47:M47"/>
    <mergeCell ref="N47:O47"/>
    <mergeCell ref="P47:Q47"/>
    <mergeCell ref="A51:I51"/>
    <mergeCell ref="J51:K51"/>
    <mergeCell ref="L51:M51"/>
    <mergeCell ref="N51:O51"/>
    <mergeCell ref="P51:Q51"/>
    <mergeCell ref="R51:S51"/>
    <mergeCell ref="T51:U51"/>
    <mergeCell ref="A50:I50"/>
    <mergeCell ref="J50:K50"/>
    <mergeCell ref="L50:M50"/>
    <mergeCell ref="N50:O50"/>
    <mergeCell ref="P50:Q50"/>
    <mergeCell ref="R50:S50"/>
    <mergeCell ref="T50:U50"/>
    <mergeCell ref="J54:K54"/>
    <mergeCell ref="L54:M54"/>
    <mergeCell ref="N54:O54"/>
    <mergeCell ref="P54:Q54"/>
    <mergeCell ref="T55:U55"/>
    <mergeCell ref="A52:I52"/>
    <mergeCell ref="J52:K52"/>
    <mergeCell ref="L52:M52"/>
    <mergeCell ref="N52:O52"/>
    <mergeCell ref="P52:Q52"/>
    <mergeCell ref="R52:S52"/>
    <mergeCell ref="T52:U52"/>
    <mergeCell ref="R54:S54"/>
    <mergeCell ref="T54:U54"/>
    <mergeCell ref="A53:I53"/>
    <mergeCell ref="J53:K53"/>
    <mergeCell ref="L53:M53"/>
    <mergeCell ref="N53:O53"/>
    <mergeCell ref="P53:Q53"/>
    <mergeCell ref="R53:S53"/>
    <mergeCell ref="T57:U57"/>
    <mergeCell ref="A57:I57"/>
    <mergeCell ref="J57:K57"/>
    <mergeCell ref="L57:M57"/>
    <mergeCell ref="N57:O57"/>
    <mergeCell ref="P57:Q57"/>
    <mergeCell ref="R57:S57"/>
    <mergeCell ref="R43:S43"/>
    <mergeCell ref="T43:U43"/>
    <mergeCell ref="A56:I56"/>
    <mergeCell ref="J56:K56"/>
    <mergeCell ref="L56:M56"/>
    <mergeCell ref="N56:O56"/>
    <mergeCell ref="P56:Q56"/>
    <mergeCell ref="R56:S56"/>
    <mergeCell ref="T56:U56"/>
    <mergeCell ref="A55:I55"/>
    <mergeCell ref="J55:K55"/>
    <mergeCell ref="L55:M55"/>
    <mergeCell ref="N55:O55"/>
    <mergeCell ref="P55:Q55"/>
    <mergeCell ref="R55:S55"/>
    <mergeCell ref="T53:U53"/>
    <mergeCell ref="A54:I54"/>
    <mergeCell ref="A39:I39"/>
    <mergeCell ref="J39:K39"/>
    <mergeCell ref="L39:M39"/>
    <mergeCell ref="N39:O39"/>
    <mergeCell ref="P39:Q39"/>
    <mergeCell ref="R39:S39"/>
    <mergeCell ref="T39:U39"/>
    <mergeCell ref="A49:I49"/>
    <mergeCell ref="J49:K49"/>
    <mergeCell ref="L49:M49"/>
    <mergeCell ref="N49:O49"/>
    <mergeCell ref="P49:Q49"/>
    <mergeCell ref="R49:S49"/>
    <mergeCell ref="T49:U49"/>
    <mergeCell ref="A48:I48"/>
    <mergeCell ref="J48:K48"/>
    <mergeCell ref="L48:M48"/>
    <mergeCell ref="N48:O48"/>
    <mergeCell ref="P48:Q48"/>
    <mergeCell ref="R48:S48"/>
    <mergeCell ref="T48:U48"/>
    <mergeCell ref="L45:M45"/>
    <mergeCell ref="N45:O45"/>
    <mergeCell ref="P45:Q45"/>
  </mergeCells>
  <pageMargins left="0.55118110236220474" right="0.55118110236220474" top="0.59055118110236227" bottom="0.39370078740157483" header="0.51181102362204722" footer="0.51181102362204722"/>
  <pageSetup scale="74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activeCell="E16" sqref="E16"/>
    </sheetView>
  </sheetViews>
  <sheetFormatPr defaultRowHeight="12.75" x14ac:dyDescent="0.2"/>
  <cols>
    <col min="1" max="1" width="71.7109375" style="101" customWidth="1"/>
    <col min="2" max="2" width="20" style="101" customWidth="1"/>
    <col min="3" max="3" width="19.85546875" style="92" customWidth="1"/>
    <col min="4" max="4" width="17.7109375" style="92" customWidth="1"/>
    <col min="5" max="5" width="19" style="92" customWidth="1"/>
    <col min="6" max="6" width="14.5703125" style="101" customWidth="1"/>
    <col min="7" max="7" width="12.140625" style="101" customWidth="1"/>
    <col min="8" max="8" width="9.140625" style="101"/>
    <col min="9" max="9" width="11.7109375" style="101" bestFit="1" customWidth="1"/>
    <col min="10" max="16384" width="9.140625" style="101"/>
  </cols>
  <sheetData>
    <row r="1" spans="1:23" x14ac:dyDescent="0.2">
      <c r="A1" s="101" t="s">
        <v>209</v>
      </c>
    </row>
    <row r="2" spans="1:23" x14ac:dyDescent="0.2">
      <c r="A2" s="101" t="s">
        <v>210</v>
      </c>
    </row>
    <row r="3" spans="1:23" x14ac:dyDescent="0.2">
      <c r="A3" s="101" t="s">
        <v>211</v>
      </c>
    </row>
    <row r="4" spans="1:23" x14ac:dyDescent="0.2">
      <c r="A4" s="101" t="s">
        <v>212</v>
      </c>
    </row>
    <row r="6" spans="1:23" s="1" customFormat="1" ht="31.9" customHeight="1" x14ac:dyDescent="0.25">
      <c r="A6" s="411" t="s">
        <v>322</v>
      </c>
      <c r="B6" s="411"/>
      <c r="C6" s="411"/>
      <c r="D6" s="411"/>
      <c r="E6" s="411"/>
      <c r="F6" s="411"/>
      <c r="G6" s="411"/>
    </row>
    <row r="7" spans="1:23" s="3" customFormat="1" ht="23.25" customHeight="1" x14ac:dyDescent="0.25">
      <c r="A7" s="411" t="s">
        <v>296</v>
      </c>
      <c r="B7" s="411"/>
      <c r="C7" s="411"/>
      <c r="D7" s="411"/>
      <c r="E7" s="411"/>
      <c r="F7" s="41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</row>
    <row r="8" spans="1:23" ht="23.25" customHeight="1" x14ac:dyDescent="0.2">
      <c r="A8" s="412" t="s">
        <v>323</v>
      </c>
      <c r="B8" s="413"/>
      <c r="C8" s="413"/>
      <c r="D8" s="413"/>
      <c r="E8" s="413"/>
      <c r="F8" s="413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</row>
    <row r="9" spans="1:23" x14ac:dyDescent="0.2">
      <c r="A9" s="414"/>
      <c r="B9" s="415"/>
      <c r="C9" s="415"/>
      <c r="D9" s="415"/>
      <c r="E9" s="415"/>
      <c r="F9" s="415"/>
    </row>
    <row r="10" spans="1:23" ht="13.5" thickBot="1" x14ac:dyDescent="0.25">
      <c r="A10" s="15"/>
    </row>
    <row r="11" spans="1:23" s="10" customFormat="1" ht="26.25" customHeight="1" thickTop="1" thickBot="1" x14ac:dyDescent="0.25">
      <c r="A11" s="11" t="s">
        <v>1</v>
      </c>
      <c r="B11" s="207" t="s">
        <v>315</v>
      </c>
      <c r="C11" s="280" t="s">
        <v>324</v>
      </c>
      <c r="D11" s="207" t="s">
        <v>325</v>
      </c>
      <c r="E11" s="207" t="s">
        <v>326</v>
      </c>
      <c r="F11" s="207" t="s">
        <v>307</v>
      </c>
      <c r="G11" s="13" t="s">
        <v>3</v>
      </c>
    </row>
    <row r="12" spans="1:23" s="97" customFormat="1" ht="18.75" customHeight="1" thickTop="1" thickBot="1" x14ac:dyDescent="0.25">
      <c r="A12" s="17"/>
      <c r="B12" s="18">
        <v>1</v>
      </c>
      <c r="C12" s="312">
        <v>2</v>
      </c>
      <c r="D12" s="312">
        <v>3</v>
      </c>
      <c r="E12" s="312">
        <v>4</v>
      </c>
      <c r="F12" s="18">
        <v>5</v>
      </c>
      <c r="G12" s="19" t="s">
        <v>9</v>
      </c>
    </row>
    <row r="13" spans="1:23" s="102" customFormat="1" ht="21" customHeight="1" x14ac:dyDescent="0.2">
      <c r="A13" s="239" t="s">
        <v>297</v>
      </c>
      <c r="B13" s="240">
        <f t="shared" ref="B13:E13" si="0">B14</f>
        <v>1323881.8900000001</v>
      </c>
      <c r="C13" s="240">
        <f t="shared" si="0"/>
        <v>2406235</v>
      </c>
      <c r="D13" s="240">
        <f t="shared" si="0"/>
        <v>2434821</v>
      </c>
      <c r="E13" s="240">
        <f t="shared" si="0"/>
        <v>1245080.28</v>
      </c>
      <c r="F13" s="241">
        <f>E13/B13*100</f>
        <v>94.04768577958265</v>
      </c>
      <c r="G13" s="242">
        <f>E13/D13*100</f>
        <v>51.136419473957226</v>
      </c>
    </row>
    <row r="14" spans="1:23" s="97" customFormat="1" ht="21" customHeight="1" x14ac:dyDescent="0.2">
      <c r="A14" s="243" t="s">
        <v>298</v>
      </c>
      <c r="B14" s="221">
        <f>B15+B16</f>
        <v>1323881.8900000001</v>
      </c>
      <c r="C14" s="375">
        <f t="shared" ref="C14:E14" si="1">C15+C16</f>
        <v>2406235</v>
      </c>
      <c r="D14" s="375">
        <f t="shared" si="1"/>
        <v>2434821</v>
      </c>
      <c r="E14" s="332">
        <f t="shared" si="1"/>
        <v>1245080.28</v>
      </c>
      <c r="F14" s="222">
        <f>E14/B14*100</f>
        <v>94.04768577958265</v>
      </c>
      <c r="G14" s="244">
        <f>E14/D14*100</f>
        <v>51.136419473957226</v>
      </c>
      <c r="I14" s="250"/>
    </row>
    <row r="15" spans="1:23" s="97" customFormat="1" ht="21" customHeight="1" x14ac:dyDescent="0.2">
      <c r="A15" s="343" t="s">
        <v>299</v>
      </c>
      <c r="B15" s="344">
        <v>1244051.78</v>
      </c>
      <c r="C15" s="344">
        <v>2260035</v>
      </c>
      <c r="D15" s="344">
        <v>2287905</v>
      </c>
      <c r="E15" s="344">
        <v>1165408.49</v>
      </c>
      <c r="F15" s="345">
        <f>E15/B15*100</f>
        <v>93.67845524886431</v>
      </c>
      <c r="G15" s="346">
        <f>E15/D15*100</f>
        <v>50.937800739104112</v>
      </c>
    </row>
    <row r="16" spans="1:23" s="97" customFormat="1" ht="21" customHeight="1" thickBot="1" x14ac:dyDescent="0.25">
      <c r="A16" s="339" t="s">
        <v>320</v>
      </c>
      <c r="B16" s="245">
        <v>79830.11</v>
      </c>
      <c r="C16" s="340">
        <f>30500+6000+800+108900</f>
        <v>146200</v>
      </c>
      <c r="D16" s="340">
        <f>30500+6716+800+108900</f>
        <v>146916</v>
      </c>
      <c r="E16" s="340">
        <v>79671.789999999994</v>
      </c>
      <c r="F16" s="341">
        <f>E16/B16*100</f>
        <v>99.801678840227069</v>
      </c>
      <c r="G16" s="342">
        <f>E16/D16*100</f>
        <v>54.229484875711286</v>
      </c>
    </row>
    <row r="17" ht="13.5" thickTop="1" x14ac:dyDescent="0.2"/>
    <row r="20" ht="12.75" customHeight="1" x14ac:dyDescent="0.2"/>
    <row r="25" ht="36.75" customHeight="1" x14ac:dyDescent="0.2"/>
    <row r="27" ht="28.5" customHeight="1" x14ac:dyDescent="0.2"/>
  </sheetData>
  <mergeCells count="4">
    <mergeCell ref="A6:G6"/>
    <mergeCell ref="A9:F9"/>
    <mergeCell ref="A7:F7"/>
    <mergeCell ref="A8:F8"/>
  </mergeCells>
  <pageMargins left="0.74803149606299213" right="0.74803149606299213" top="0.78740157480314965" bottom="0.78740157480314965" header="0.51181102362204722" footer="0.51181102362204722"/>
  <pageSetup scale="7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>
      <selection activeCell="B11" sqref="B11:E11"/>
    </sheetView>
  </sheetViews>
  <sheetFormatPr defaultRowHeight="12.75" x14ac:dyDescent="0.2"/>
  <cols>
    <col min="1" max="1" width="71.7109375" style="284" customWidth="1"/>
    <col min="2" max="2" width="20" style="284" customWidth="1"/>
    <col min="3" max="3" width="19.85546875" style="284" customWidth="1"/>
    <col min="4" max="4" width="17.7109375" style="284" customWidth="1"/>
    <col min="5" max="5" width="19.28515625" style="284" customWidth="1"/>
    <col min="6" max="6" width="14.5703125" style="284" customWidth="1"/>
    <col min="7" max="7" width="12.140625" style="284" customWidth="1"/>
    <col min="8" max="8" width="9.140625" style="284"/>
    <col min="9" max="9" width="27.85546875" style="284" customWidth="1"/>
    <col min="10" max="16384" width="9.140625" style="284"/>
  </cols>
  <sheetData>
    <row r="1" spans="1:24" x14ac:dyDescent="0.2">
      <c r="A1" s="284" t="s">
        <v>209</v>
      </c>
    </row>
    <row r="2" spans="1:24" x14ac:dyDescent="0.2">
      <c r="A2" s="284" t="s">
        <v>210</v>
      </c>
    </row>
    <row r="3" spans="1:24" x14ac:dyDescent="0.2">
      <c r="A3" s="284" t="s">
        <v>211</v>
      </c>
    </row>
    <row r="4" spans="1:24" x14ac:dyDescent="0.2">
      <c r="A4" s="284" t="s">
        <v>212</v>
      </c>
    </row>
    <row r="6" spans="1:24" s="285" customFormat="1" ht="31.9" customHeight="1" x14ac:dyDescent="0.25">
      <c r="A6" s="535" t="s">
        <v>322</v>
      </c>
      <c r="B6" s="535"/>
      <c r="C6" s="535"/>
      <c r="D6" s="535"/>
      <c r="E6" s="535"/>
      <c r="F6" s="535"/>
      <c r="G6" s="535"/>
    </row>
    <row r="7" spans="1:24" s="285" customFormat="1" ht="23.25" customHeight="1" x14ac:dyDescent="0.25">
      <c r="A7" s="536" t="s">
        <v>308</v>
      </c>
      <c r="B7" s="536"/>
      <c r="C7" s="536"/>
      <c r="D7" s="536"/>
      <c r="E7" s="536"/>
      <c r="F7" s="536"/>
      <c r="G7" s="53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</row>
    <row r="8" spans="1:24" ht="23.25" customHeight="1" x14ac:dyDescent="0.2">
      <c r="A8" s="537" t="s">
        <v>323</v>
      </c>
      <c r="B8" s="537"/>
      <c r="C8" s="537"/>
      <c r="D8" s="537"/>
      <c r="E8" s="537"/>
      <c r="F8" s="53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</row>
    <row r="9" spans="1:24" x14ac:dyDescent="0.2">
      <c r="A9" s="538"/>
      <c r="B9" s="539"/>
      <c r="C9" s="539"/>
      <c r="D9" s="539"/>
      <c r="E9" s="539"/>
      <c r="F9" s="539"/>
    </row>
    <row r="10" spans="1:24" ht="13.5" thickBot="1" x14ac:dyDescent="0.25">
      <c r="A10" s="288"/>
    </row>
    <row r="11" spans="1:24" s="292" customFormat="1" ht="26.25" customHeight="1" thickTop="1" thickBot="1" x14ac:dyDescent="0.25">
      <c r="A11" s="289" t="s">
        <v>1</v>
      </c>
      <c r="B11" s="290" t="s">
        <v>315</v>
      </c>
      <c r="C11" s="290" t="s">
        <v>324</v>
      </c>
      <c r="D11" s="290" t="s">
        <v>325</v>
      </c>
      <c r="E11" s="290" t="s">
        <v>326</v>
      </c>
      <c r="F11" s="290" t="s">
        <v>2</v>
      </c>
      <c r="G11" s="291" t="s">
        <v>3</v>
      </c>
    </row>
    <row r="12" spans="1:24" s="296" customFormat="1" ht="18.75" customHeight="1" thickTop="1" thickBot="1" x14ac:dyDescent="0.25">
      <c r="A12" s="293"/>
      <c r="B12" s="294">
        <v>1</v>
      </c>
      <c r="C12" s="294">
        <v>2</v>
      </c>
      <c r="D12" s="294">
        <v>3</v>
      </c>
      <c r="E12" s="294">
        <v>4</v>
      </c>
      <c r="F12" s="294">
        <v>5</v>
      </c>
      <c r="G12" s="295" t="s">
        <v>9</v>
      </c>
    </row>
    <row r="13" spans="1:24" s="301" customFormat="1" ht="21" customHeight="1" x14ac:dyDescent="0.2">
      <c r="A13" s="297" t="s">
        <v>309</v>
      </c>
      <c r="B13" s="298"/>
      <c r="C13" s="298"/>
      <c r="D13" s="298"/>
      <c r="E13" s="298"/>
      <c r="F13" s="298"/>
      <c r="G13" s="299"/>
      <c r="H13" s="300"/>
      <c r="I13" s="300"/>
      <c r="J13" s="300"/>
      <c r="K13" s="300"/>
      <c r="L13" s="300"/>
    </row>
    <row r="14" spans="1:24" s="296" customFormat="1" ht="21" customHeight="1" thickBot="1" x14ac:dyDescent="0.25">
      <c r="A14" s="302" t="s">
        <v>310</v>
      </c>
      <c r="B14" s="303">
        <v>0</v>
      </c>
      <c r="C14" s="303">
        <v>0</v>
      </c>
      <c r="D14" s="303">
        <v>0</v>
      </c>
      <c r="E14" s="303">
        <v>0</v>
      </c>
      <c r="F14" s="303">
        <v>0</v>
      </c>
      <c r="G14" s="304">
        <v>0</v>
      </c>
      <c r="H14" s="300"/>
      <c r="I14" s="300"/>
      <c r="J14" s="300"/>
      <c r="K14" s="300"/>
      <c r="L14" s="300"/>
    </row>
    <row r="15" spans="1:24" ht="13.5" thickTop="1" x14ac:dyDescent="0.2"/>
    <row r="18" ht="12.75" customHeight="1" x14ac:dyDescent="0.2"/>
    <row r="23" ht="36.75" customHeight="1" x14ac:dyDescent="0.2"/>
    <row r="25" ht="28.5" customHeight="1" x14ac:dyDescent="0.2"/>
  </sheetData>
  <mergeCells count="4">
    <mergeCell ref="A6:G6"/>
    <mergeCell ref="A7:G7"/>
    <mergeCell ref="A8:F8"/>
    <mergeCell ref="A9:F9"/>
  </mergeCells>
  <pageMargins left="0.74803149606299213" right="0.74803149606299213" top="0.78740157480314965" bottom="0.78740157480314965" header="0.51181102362204722" footer="0.51181102362204722"/>
  <pageSetup scale="7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>
      <selection activeCell="A9" sqref="A9:F9"/>
    </sheetView>
  </sheetViews>
  <sheetFormatPr defaultRowHeight="12.75" x14ac:dyDescent="0.2"/>
  <cols>
    <col min="1" max="1" width="71.7109375" style="284" customWidth="1"/>
    <col min="2" max="2" width="20" style="284" customWidth="1"/>
    <col min="3" max="3" width="19.85546875" style="284" customWidth="1"/>
    <col min="4" max="4" width="17.7109375" style="284" customWidth="1"/>
    <col min="5" max="5" width="19" style="284" customWidth="1"/>
    <col min="6" max="6" width="14.5703125" style="284" customWidth="1"/>
    <col min="7" max="7" width="12.140625" style="284" customWidth="1"/>
    <col min="8" max="8" width="9.140625" style="284"/>
    <col min="9" max="9" width="27.85546875" style="284" customWidth="1"/>
    <col min="10" max="16384" width="9.140625" style="284"/>
  </cols>
  <sheetData>
    <row r="1" spans="1:24" x14ac:dyDescent="0.2">
      <c r="A1" s="284" t="s">
        <v>209</v>
      </c>
    </row>
    <row r="2" spans="1:24" x14ac:dyDescent="0.2">
      <c r="A2" s="284" t="s">
        <v>210</v>
      </c>
    </row>
    <row r="3" spans="1:24" x14ac:dyDescent="0.2">
      <c r="A3" s="284" t="s">
        <v>211</v>
      </c>
    </row>
    <row r="4" spans="1:24" x14ac:dyDescent="0.2">
      <c r="A4" s="284" t="s">
        <v>212</v>
      </c>
    </row>
    <row r="6" spans="1:24" s="285" customFormat="1" ht="31.9" customHeight="1" x14ac:dyDescent="0.25">
      <c r="A6" s="535" t="s">
        <v>322</v>
      </c>
      <c r="B6" s="535"/>
      <c r="C6" s="535"/>
      <c r="D6" s="535"/>
      <c r="E6" s="535"/>
      <c r="F6" s="535"/>
      <c r="G6" s="535"/>
    </row>
    <row r="7" spans="1:24" s="285" customFormat="1" ht="23.25" customHeight="1" x14ac:dyDescent="0.25">
      <c r="A7" s="536" t="s">
        <v>311</v>
      </c>
      <c r="B7" s="536"/>
      <c r="C7" s="536"/>
      <c r="D7" s="536"/>
      <c r="E7" s="536"/>
      <c r="F7" s="536"/>
      <c r="G7" s="53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</row>
    <row r="8" spans="1:24" ht="23.25" customHeight="1" x14ac:dyDescent="0.2">
      <c r="A8" s="537" t="s">
        <v>323</v>
      </c>
      <c r="B8" s="537"/>
      <c r="C8" s="537"/>
      <c r="D8" s="537"/>
      <c r="E8" s="537"/>
      <c r="F8" s="53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</row>
    <row r="9" spans="1:24" x14ac:dyDescent="0.2">
      <c r="A9" s="538"/>
      <c r="B9" s="539"/>
      <c r="C9" s="539"/>
      <c r="D9" s="539"/>
      <c r="E9" s="539"/>
      <c r="F9" s="539"/>
    </row>
    <row r="10" spans="1:24" ht="13.5" thickBot="1" x14ac:dyDescent="0.25">
      <c r="A10" s="288"/>
    </row>
    <row r="11" spans="1:24" s="292" customFormat="1" ht="26.25" customHeight="1" thickTop="1" thickBot="1" x14ac:dyDescent="0.25">
      <c r="A11" s="289" t="s">
        <v>1</v>
      </c>
      <c r="B11" s="290" t="s">
        <v>315</v>
      </c>
      <c r="C11" s="290" t="s">
        <v>324</v>
      </c>
      <c r="D11" s="290" t="s">
        <v>325</v>
      </c>
      <c r="E11" s="290" t="s">
        <v>326</v>
      </c>
      <c r="F11" s="290" t="s">
        <v>2</v>
      </c>
      <c r="G11" s="291" t="s">
        <v>3</v>
      </c>
    </row>
    <row r="12" spans="1:24" s="296" customFormat="1" ht="18.75" customHeight="1" thickTop="1" thickBot="1" x14ac:dyDescent="0.25">
      <c r="A12" s="293"/>
      <c r="B12" s="294">
        <v>1</v>
      </c>
      <c r="C12" s="294">
        <v>2</v>
      </c>
      <c r="D12" s="294">
        <v>3</v>
      </c>
      <c r="E12" s="294">
        <v>4</v>
      </c>
      <c r="F12" s="294">
        <v>5</v>
      </c>
      <c r="G12" s="295" t="s">
        <v>9</v>
      </c>
    </row>
    <row r="13" spans="1:24" s="301" customFormat="1" ht="21" customHeight="1" x14ac:dyDescent="0.2">
      <c r="A13" s="297" t="s">
        <v>309</v>
      </c>
      <c r="B13" s="298"/>
      <c r="C13" s="298"/>
      <c r="D13" s="298"/>
      <c r="E13" s="298"/>
      <c r="F13" s="298"/>
      <c r="G13" s="299"/>
      <c r="H13" s="300"/>
      <c r="I13" s="300"/>
      <c r="J13" s="300"/>
      <c r="K13" s="300"/>
      <c r="L13" s="300"/>
    </row>
    <row r="14" spans="1:24" s="296" customFormat="1" ht="21" customHeight="1" thickBot="1" x14ac:dyDescent="0.25">
      <c r="A14" s="302" t="s">
        <v>312</v>
      </c>
      <c r="B14" s="303">
        <v>0</v>
      </c>
      <c r="C14" s="303">
        <v>0</v>
      </c>
      <c r="D14" s="303">
        <v>0</v>
      </c>
      <c r="E14" s="303">
        <v>0</v>
      </c>
      <c r="F14" s="303">
        <v>0</v>
      </c>
      <c r="G14" s="304">
        <v>0</v>
      </c>
      <c r="H14" s="300"/>
      <c r="I14" s="300"/>
      <c r="J14" s="300"/>
      <c r="K14" s="300"/>
      <c r="L14" s="300"/>
    </row>
    <row r="15" spans="1:24" ht="13.5" thickTop="1" x14ac:dyDescent="0.2"/>
    <row r="18" ht="12.75" customHeight="1" x14ac:dyDescent="0.2"/>
    <row r="23" ht="36.75" customHeight="1" x14ac:dyDescent="0.2"/>
    <row r="25" ht="28.5" customHeight="1" x14ac:dyDescent="0.2"/>
  </sheetData>
  <mergeCells count="4">
    <mergeCell ref="A6:G6"/>
    <mergeCell ref="A7:G7"/>
    <mergeCell ref="A8:F8"/>
    <mergeCell ref="A9:F9"/>
  </mergeCells>
  <pageMargins left="0.74803149606299213" right="0.74803149606299213" top="0.78740157480314965" bottom="0.78740157480314965" header="0.51181102362204722" footer="0.51181102362204722"/>
  <pageSetup scale="7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5"/>
  <sheetViews>
    <sheetView tabSelected="1" zoomScaleNormal="100" zoomScaleSheetLayoutView="100" workbookViewId="0">
      <selection activeCell="A11" sqref="A11:F11"/>
    </sheetView>
  </sheetViews>
  <sheetFormatPr defaultRowHeight="12.75" x14ac:dyDescent="0.2"/>
  <cols>
    <col min="1" max="1" width="11" style="95" customWidth="1"/>
    <col min="2" max="2" width="86.7109375" customWidth="1"/>
    <col min="3" max="3" width="21.7109375" style="92" customWidth="1"/>
    <col min="4" max="4" width="19.5703125" style="92" customWidth="1"/>
    <col min="5" max="5" width="19.28515625" style="92" customWidth="1"/>
    <col min="6" max="6" width="15.28515625" style="206" customWidth="1"/>
  </cols>
  <sheetData>
    <row r="1" spans="1:23" s="96" customFormat="1" x14ac:dyDescent="0.2">
      <c r="A1" s="154" t="s">
        <v>209</v>
      </c>
      <c r="C1" s="92"/>
      <c r="D1" s="92"/>
      <c r="E1" s="92"/>
      <c r="F1" s="180"/>
    </row>
    <row r="2" spans="1:23" s="96" customFormat="1" x14ac:dyDescent="0.2">
      <c r="A2" s="154" t="s">
        <v>210</v>
      </c>
      <c r="C2" s="92"/>
      <c r="D2" s="92"/>
      <c r="E2" s="92"/>
      <c r="F2" s="180"/>
    </row>
    <row r="3" spans="1:23" s="96" customFormat="1" x14ac:dyDescent="0.2">
      <c r="A3" s="154" t="s">
        <v>211</v>
      </c>
      <c r="C3" s="92"/>
      <c r="D3" s="92"/>
      <c r="E3" s="92"/>
      <c r="F3" s="180"/>
    </row>
    <row r="4" spans="1:23" s="96" customFormat="1" x14ac:dyDescent="0.2">
      <c r="A4" s="154" t="s">
        <v>212</v>
      </c>
      <c r="C4" s="92"/>
      <c r="D4" s="92"/>
      <c r="E4" s="92"/>
      <c r="F4" s="180"/>
    </row>
    <row r="5" spans="1:23" s="96" customFormat="1" x14ac:dyDescent="0.2">
      <c r="A5" s="416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</row>
    <row r="6" spans="1:23" s="1" customFormat="1" ht="23.25" customHeight="1" x14ac:dyDescent="0.25">
      <c r="A6" s="411" t="s">
        <v>322</v>
      </c>
      <c r="B6" s="411"/>
      <c r="C6" s="411"/>
      <c r="D6" s="411"/>
      <c r="E6" s="411"/>
      <c r="F6" s="411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</row>
    <row r="7" spans="1:23" s="3" customFormat="1" ht="23.25" customHeight="1" x14ac:dyDescent="0.25">
      <c r="A7" s="411" t="s">
        <v>240</v>
      </c>
      <c r="B7" s="411"/>
      <c r="C7" s="411"/>
      <c r="D7" s="411"/>
      <c r="E7" s="411"/>
      <c r="F7" s="41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</row>
    <row r="8" spans="1:23" s="96" customFormat="1" ht="23.25" customHeight="1" x14ac:dyDescent="0.2">
      <c r="A8" s="537" t="s">
        <v>323</v>
      </c>
      <c r="B8" s="537"/>
      <c r="C8" s="537"/>
      <c r="D8" s="537"/>
      <c r="E8" s="537"/>
      <c r="F8" s="537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</row>
    <row r="9" spans="1:23" s="96" customFormat="1" x14ac:dyDescent="0.2">
      <c r="A9" s="414" t="s">
        <v>241</v>
      </c>
      <c r="B9" s="414"/>
      <c r="C9" s="414"/>
      <c r="D9" s="414"/>
      <c r="E9" s="414"/>
      <c r="F9" s="414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1:23" s="96" customFormat="1" x14ac:dyDescent="0.2">
      <c r="A10" s="93"/>
      <c r="B10" s="107"/>
      <c r="C10" s="305"/>
      <c r="D10" s="305"/>
      <c r="E10" s="305"/>
      <c r="F10" s="181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</row>
    <row r="11" spans="1:23" s="96" customFormat="1" x14ac:dyDescent="0.2">
      <c r="A11" s="414" t="s">
        <v>242</v>
      </c>
      <c r="B11" s="414"/>
      <c r="C11" s="414"/>
      <c r="D11" s="414"/>
      <c r="E11" s="414"/>
      <c r="F11" s="414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</row>
    <row r="12" spans="1:23" s="96" customFormat="1" x14ac:dyDescent="0.2">
      <c r="A12" s="93"/>
      <c r="B12" s="93"/>
      <c r="C12" s="306"/>
      <c r="D12" s="306"/>
      <c r="E12" s="306"/>
      <c r="F12" s="182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</row>
    <row r="13" spans="1:23" s="96" customFormat="1" x14ac:dyDescent="0.2">
      <c r="A13" s="108" t="s">
        <v>328</v>
      </c>
      <c r="B13" s="93"/>
      <c r="C13" s="306"/>
      <c r="D13" s="306"/>
      <c r="E13" s="306"/>
      <c r="F13" s="182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</row>
    <row r="14" spans="1:23" ht="13.5" thickBot="1" x14ac:dyDescent="0.25">
      <c r="A14" s="416"/>
      <c r="B14" s="416"/>
      <c r="C14" s="416"/>
      <c r="D14" s="416"/>
      <c r="E14" s="416"/>
      <c r="F14" s="416"/>
    </row>
    <row r="15" spans="1:23" ht="39.75" thickTop="1" thickBot="1" x14ac:dyDescent="0.25">
      <c r="A15" s="114" t="s">
        <v>243</v>
      </c>
      <c r="B15" s="115" t="s">
        <v>244</v>
      </c>
      <c r="C15" s="115" t="s">
        <v>324</v>
      </c>
      <c r="D15" s="115" t="s">
        <v>325</v>
      </c>
      <c r="E15" s="115" t="s">
        <v>326</v>
      </c>
      <c r="F15" s="183" t="s">
        <v>245</v>
      </c>
    </row>
    <row r="16" spans="1:23" s="96" customFormat="1" ht="14.25" thickTop="1" thickBot="1" x14ac:dyDescent="0.25">
      <c r="A16" s="540">
        <v>1</v>
      </c>
      <c r="B16" s="541"/>
      <c r="C16" s="115">
        <v>2</v>
      </c>
      <c r="D16" s="115">
        <v>3</v>
      </c>
      <c r="E16" s="115">
        <v>4</v>
      </c>
      <c r="F16" s="183" t="s">
        <v>246</v>
      </c>
    </row>
    <row r="17" spans="1:23" s="96" customFormat="1" ht="13.5" thickTop="1" x14ac:dyDescent="0.2">
      <c r="A17" s="130">
        <v>67</v>
      </c>
      <c r="B17" s="131" t="s">
        <v>263</v>
      </c>
      <c r="C17" s="361">
        <f t="shared" ref="C17:E18" si="0">C18</f>
        <v>161515</v>
      </c>
      <c r="D17" s="361">
        <f t="shared" si="0"/>
        <v>185799</v>
      </c>
      <c r="E17" s="361">
        <f t="shared" si="0"/>
        <v>70779.12</v>
      </c>
      <c r="F17" s="184">
        <f>E17/D17*100</f>
        <v>38.094456913115785</v>
      </c>
    </row>
    <row r="18" spans="1:23" s="96" customFormat="1" x14ac:dyDescent="0.2">
      <c r="A18" s="128">
        <v>671</v>
      </c>
      <c r="B18" s="129" t="s">
        <v>264</v>
      </c>
      <c r="C18" s="315">
        <f t="shared" si="0"/>
        <v>161515</v>
      </c>
      <c r="D18" s="315">
        <f t="shared" si="0"/>
        <v>185799</v>
      </c>
      <c r="E18" s="315">
        <f t="shared" si="0"/>
        <v>70779.12</v>
      </c>
      <c r="F18" s="185"/>
    </row>
    <row r="19" spans="1:23" s="96" customFormat="1" ht="13.5" thickBot="1" x14ac:dyDescent="0.25">
      <c r="A19" s="118">
        <v>6711</v>
      </c>
      <c r="B19" s="111" t="s">
        <v>265</v>
      </c>
      <c r="C19" s="316">
        <f>155435+6080</f>
        <v>161515</v>
      </c>
      <c r="D19" s="316">
        <f>173685+6080+6034</f>
        <v>185799</v>
      </c>
      <c r="E19" s="316">
        <f>70779.12</f>
        <v>70779.12</v>
      </c>
      <c r="F19" s="186"/>
      <c r="G19" s="225"/>
    </row>
    <row r="20" spans="1:23" s="94" customFormat="1" ht="16.5" customHeight="1" thickBot="1" x14ac:dyDescent="0.25">
      <c r="A20" s="542" t="s">
        <v>269</v>
      </c>
      <c r="B20" s="543"/>
      <c r="C20" s="362">
        <f>C17</f>
        <v>161515</v>
      </c>
      <c r="D20" s="362">
        <f>D17</f>
        <v>185799</v>
      </c>
      <c r="E20" s="362">
        <f>E17</f>
        <v>70779.12</v>
      </c>
      <c r="F20" s="188">
        <f>E20/D20*100</f>
        <v>38.094456913115785</v>
      </c>
      <c r="G20" s="226"/>
    </row>
    <row r="21" spans="1:23" s="96" customFormat="1" ht="16.5" customHeight="1" thickTop="1" x14ac:dyDescent="0.2">
      <c r="A21" s="140"/>
      <c r="B21" s="141"/>
      <c r="C21" s="307"/>
      <c r="D21" s="307"/>
      <c r="E21" s="307"/>
      <c r="F21" s="189"/>
      <c r="G21" s="225"/>
    </row>
    <row r="22" spans="1:23" s="96" customFormat="1" x14ac:dyDescent="0.2">
      <c r="A22" s="108" t="s">
        <v>329</v>
      </c>
      <c r="B22" s="93"/>
      <c r="C22" s="306"/>
      <c r="D22" s="306"/>
      <c r="E22" s="306"/>
      <c r="F22" s="182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</row>
    <row r="23" spans="1:23" s="96" customFormat="1" ht="13.5" thickBot="1" x14ac:dyDescent="0.25">
      <c r="A23" s="416"/>
      <c r="B23" s="416"/>
      <c r="C23" s="416"/>
      <c r="D23" s="416"/>
      <c r="E23" s="416"/>
      <c r="F23" s="416"/>
    </row>
    <row r="24" spans="1:23" s="96" customFormat="1" ht="39.75" thickTop="1" thickBot="1" x14ac:dyDescent="0.25">
      <c r="A24" s="114" t="s">
        <v>243</v>
      </c>
      <c r="B24" s="115" t="s">
        <v>244</v>
      </c>
      <c r="C24" s="115" t="s">
        <v>324</v>
      </c>
      <c r="D24" s="115" t="s">
        <v>325</v>
      </c>
      <c r="E24" s="115" t="s">
        <v>326</v>
      </c>
      <c r="F24" s="183" t="s">
        <v>245</v>
      </c>
    </row>
    <row r="25" spans="1:23" s="96" customFormat="1" ht="14.25" thickTop="1" thickBot="1" x14ac:dyDescent="0.25">
      <c r="A25" s="540">
        <v>1</v>
      </c>
      <c r="B25" s="541"/>
      <c r="C25" s="115">
        <v>2</v>
      </c>
      <c r="D25" s="115">
        <v>3</v>
      </c>
      <c r="E25" s="115">
        <v>4</v>
      </c>
      <c r="F25" s="183" t="s">
        <v>246</v>
      </c>
    </row>
    <row r="26" spans="1:23" s="96" customFormat="1" ht="13.5" thickTop="1" x14ac:dyDescent="0.2">
      <c r="A26" s="130">
        <v>66</v>
      </c>
      <c r="B26" s="132" t="s">
        <v>259</v>
      </c>
      <c r="C26" s="361">
        <f t="shared" ref="C26:E27" si="1">C27</f>
        <v>18000</v>
      </c>
      <c r="D26" s="361">
        <f t="shared" si="1"/>
        <v>18000</v>
      </c>
      <c r="E26" s="361">
        <f t="shared" si="1"/>
        <v>9532.2000000000007</v>
      </c>
      <c r="F26" s="190">
        <f t="shared" ref="F26:F32" si="2">E26/D26*100</f>
        <v>52.956666666666678</v>
      </c>
    </row>
    <row r="27" spans="1:23" s="96" customFormat="1" x14ac:dyDescent="0.2">
      <c r="A27" s="128">
        <v>661</v>
      </c>
      <c r="B27" s="123" t="s">
        <v>260</v>
      </c>
      <c r="C27" s="315">
        <f t="shared" si="1"/>
        <v>18000</v>
      </c>
      <c r="D27" s="315">
        <f t="shared" si="1"/>
        <v>18000</v>
      </c>
      <c r="E27" s="315">
        <f t="shared" si="1"/>
        <v>9532.2000000000007</v>
      </c>
      <c r="F27" s="191"/>
    </row>
    <row r="28" spans="1:23" s="96" customFormat="1" x14ac:dyDescent="0.2">
      <c r="A28" s="229">
        <v>6615</v>
      </c>
      <c r="B28" s="230" t="s">
        <v>261</v>
      </c>
      <c r="C28" s="319">
        <v>18000</v>
      </c>
      <c r="D28" s="319">
        <v>18000</v>
      </c>
      <c r="E28" s="319">
        <v>9532.2000000000007</v>
      </c>
      <c r="F28" s="231"/>
    </row>
    <row r="29" spans="1:23" s="101" customFormat="1" x14ac:dyDescent="0.2">
      <c r="A29" s="227">
        <v>72</v>
      </c>
      <c r="B29" s="228" t="s">
        <v>289</v>
      </c>
      <c r="C29" s="364">
        <f t="shared" ref="C29:F30" si="3">C30</f>
        <v>0</v>
      </c>
      <c r="D29" s="364">
        <f t="shared" si="3"/>
        <v>0</v>
      </c>
      <c r="E29" s="364">
        <f t="shared" si="3"/>
        <v>0</v>
      </c>
      <c r="F29" s="238">
        <f t="shared" si="3"/>
        <v>0</v>
      </c>
      <c r="G29" s="236"/>
    </row>
    <row r="30" spans="1:23" s="101" customFormat="1" x14ac:dyDescent="0.2">
      <c r="A30" s="223">
        <v>722</v>
      </c>
      <c r="B30" s="209" t="s">
        <v>290</v>
      </c>
      <c r="C30" s="315">
        <f t="shared" si="3"/>
        <v>0</v>
      </c>
      <c r="D30" s="315">
        <f t="shared" si="3"/>
        <v>0</v>
      </c>
      <c r="E30" s="315">
        <f t="shared" si="3"/>
        <v>0</v>
      </c>
      <c r="F30" s="70"/>
      <c r="G30" s="236"/>
    </row>
    <row r="31" spans="1:23" s="101" customFormat="1" ht="13.5" thickBot="1" x14ac:dyDescent="0.25">
      <c r="A31" s="224">
        <v>7227</v>
      </c>
      <c r="B31" s="210" t="s">
        <v>291</v>
      </c>
      <c r="C31" s="321">
        <v>0</v>
      </c>
      <c r="D31" s="321">
        <v>0</v>
      </c>
      <c r="E31" s="321">
        <v>0</v>
      </c>
      <c r="F31" s="212"/>
      <c r="G31" s="237"/>
    </row>
    <row r="32" spans="1:23" s="94" customFormat="1" ht="16.5" customHeight="1" thickBot="1" x14ac:dyDescent="0.25">
      <c r="A32" s="542" t="s">
        <v>270</v>
      </c>
      <c r="B32" s="543"/>
      <c r="C32" s="362">
        <f>C26+C29</f>
        <v>18000</v>
      </c>
      <c r="D32" s="362">
        <f>D26+D29</f>
        <v>18000</v>
      </c>
      <c r="E32" s="362">
        <f>E26+E29</f>
        <v>9532.2000000000007</v>
      </c>
      <c r="F32" s="188">
        <f t="shared" si="2"/>
        <v>52.956666666666678</v>
      </c>
    </row>
    <row r="33" spans="1:23" s="94" customFormat="1" ht="16.5" customHeight="1" thickTop="1" x14ac:dyDescent="0.2">
      <c r="A33" s="127"/>
      <c r="B33" s="127"/>
      <c r="C33" s="308"/>
      <c r="D33" s="308"/>
      <c r="E33" s="308"/>
      <c r="F33" s="192"/>
    </row>
    <row r="34" spans="1:23" s="96" customFormat="1" x14ac:dyDescent="0.2">
      <c r="A34" s="108" t="s">
        <v>330</v>
      </c>
      <c r="B34" s="93"/>
      <c r="C34" s="306"/>
      <c r="D34" s="306"/>
      <c r="E34" s="306"/>
      <c r="F34" s="182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</row>
    <row r="35" spans="1:23" s="96" customFormat="1" ht="13.5" thickBot="1" x14ac:dyDescent="0.25">
      <c r="A35" s="416"/>
      <c r="B35" s="416"/>
      <c r="C35" s="416"/>
      <c r="D35" s="416"/>
      <c r="E35" s="416"/>
      <c r="F35" s="416"/>
    </row>
    <row r="36" spans="1:23" s="96" customFormat="1" ht="39.75" thickTop="1" thickBot="1" x14ac:dyDescent="0.25">
      <c r="A36" s="114" t="s">
        <v>243</v>
      </c>
      <c r="B36" s="115" t="s">
        <v>244</v>
      </c>
      <c r="C36" s="115" t="s">
        <v>324</v>
      </c>
      <c r="D36" s="115" t="s">
        <v>325</v>
      </c>
      <c r="E36" s="115" t="s">
        <v>326</v>
      </c>
      <c r="F36" s="183" t="s">
        <v>245</v>
      </c>
    </row>
    <row r="37" spans="1:23" s="96" customFormat="1" ht="14.25" thickTop="1" thickBot="1" x14ac:dyDescent="0.25">
      <c r="A37" s="540">
        <v>1</v>
      </c>
      <c r="B37" s="541"/>
      <c r="C37" s="115">
        <v>2</v>
      </c>
      <c r="D37" s="115">
        <v>3</v>
      </c>
      <c r="E37" s="115">
        <v>4</v>
      </c>
      <c r="F37" s="183" t="s">
        <v>246</v>
      </c>
    </row>
    <row r="38" spans="1:23" s="96" customFormat="1" ht="13.5" thickTop="1" x14ac:dyDescent="0.2">
      <c r="A38" s="133">
        <v>64</v>
      </c>
      <c r="B38" s="132" t="s">
        <v>253</v>
      </c>
      <c r="C38" s="361">
        <f t="shared" ref="C38:E39" si="4">C39</f>
        <v>30</v>
      </c>
      <c r="D38" s="361">
        <f t="shared" si="4"/>
        <v>30</v>
      </c>
      <c r="E38" s="361">
        <f t="shared" si="4"/>
        <v>0</v>
      </c>
      <c r="F38" s="190">
        <f t="shared" ref="F38:F47" si="5">E38/D38*100</f>
        <v>0</v>
      </c>
    </row>
    <row r="39" spans="1:23" s="96" customFormat="1" x14ac:dyDescent="0.2">
      <c r="A39" s="116">
        <v>641</v>
      </c>
      <c r="B39" s="123" t="s">
        <v>254</v>
      </c>
      <c r="C39" s="315">
        <f t="shared" si="4"/>
        <v>30</v>
      </c>
      <c r="D39" s="315">
        <f t="shared" si="4"/>
        <v>30</v>
      </c>
      <c r="E39" s="315">
        <f t="shared" si="4"/>
        <v>0</v>
      </c>
      <c r="F39" s="191"/>
    </row>
    <row r="40" spans="1:23" s="96" customFormat="1" x14ac:dyDescent="0.2">
      <c r="A40" s="125">
        <v>6413</v>
      </c>
      <c r="B40" s="134" t="s">
        <v>255</v>
      </c>
      <c r="C40" s="53">
        <v>30</v>
      </c>
      <c r="D40" s="53">
        <v>30</v>
      </c>
      <c r="E40" s="53">
        <v>0</v>
      </c>
      <c r="F40" s="187"/>
    </row>
    <row r="41" spans="1:23" s="96" customFormat="1" ht="12.75" customHeight="1" x14ac:dyDescent="0.2">
      <c r="A41" s="135">
        <v>65</v>
      </c>
      <c r="B41" s="136" t="s">
        <v>256</v>
      </c>
      <c r="C41" s="318">
        <f t="shared" ref="C41:E42" si="6">C42</f>
        <v>57300</v>
      </c>
      <c r="D41" s="318">
        <f t="shared" si="6"/>
        <v>57300</v>
      </c>
      <c r="E41" s="318">
        <f t="shared" si="6"/>
        <v>33825</v>
      </c>
      <c r="F41" s="193">
        <f t="shared" si="5"/>
        <v>59.031413612565444</v>
      </c>
    </row>
    <row r="42" spans="1:23" s="96" customFormat="1" x14ac:dyDescent="0.2">
      <c r="A42" s="116">
        <v>652</v>
      </c>
      <c r="B42" s="123" t="s">
        <v>257</v>
      </c>
      <c r="C42" s="315">
        <f t="shared" si="6"/>
        <v>57300</v>
      </c>
      <c r="D42" s="315">
        <f t="shared" si="6"/>
        <v>57300</v>
      </c>
      <c r="E42" s="315">
        <f t="shared" si="6"/>
        <v>33825</v>
      </c>
      <c r="F42" s="191"/>
    </row>
    <row r="43" spans="1:23" s="96" customFormat="1" x14ac:dyDescent="0.2">
      <c r="A43" s="137">
        <v>6526</v>
      </c>
      <c r="B43" s="134" t="s">
        <v>258</v>
      </c>
      <c r="C43" s="53">
        <v>57300</v>
      </c>
      <c r="D43" s="53">
        <v>57300</v>
      </c>
      <c r="E43" s="53">
        <v>33825</v>
      </c>
      <c r="F43" s="187"/>
    </row>
    <row r="44" spans="1:23" s="96" customFormat="1" x14ac:dyDescent="0.2">
      <c r="A44" s="138">
        <v>68</v>
      </c>
      <c r="B44" s="139" t="s">
        <v>267</v>
      </c>
      <c r="C44" s="318">
        <f t="shared" ref="C44:E45" si="7">C45</f>
        <v>500</v>
      </c>
      <c r="D44" s="318">
        <f t="shared" si="7"/>
        <v>500</v>
      </c>
      <c r="E44" s="318">
        <f t="shared" si="7"/>
        <v>37.19</v>
      </c>
      <c r="F44" s="193">
        <f t="shared" si="5"/>
        <v>7.4380000000000006</v>
      </c>
    </row>
    <row r="45" spans="1:23" s="96" customFormat="1" x14ac:dyDescent="0.2">
      <c r="A45" s="116">
        <v>683</v>
      </c>
      <c r="B45" s="123" t="s">
        <v>268</v>
      </c>
      <c r="C45" s="315">
        <f t="shared" si="7"/>
        <v>500</v>
      </c>
      <c r="D45" s="315">
        <f t="shared" si="7"/>
        <v>500</v>
      </c>
      <c r="E45" s="315">
        <f t="shared" si="7"/>
        <v>37.19</v>
      </c>
      <c r="F45" s="191"/>
    </row>
    <row r="46" spans="1:23" s="96" customFormat="1" ht="13.5" thickBot="1" x14ac:dyDescent="0.25">
      <c r="A46" s="119">
        <v>6831</v>
      </c>
      <c r="B46" s="109" t="s">
        <v>268</v>
      </c>
      <c r="C46" s="316">
        <v>500</v>
      </c>
      <c r="D46" s="316">
        <v>500</v>
      </c>
      <c r="E46" s="316">
        <v>37.19</v>
      </c>
      <c r="F46" s="186"/>
    </row>
    <row r="47" spans="1:23" s="94" customFormat="1" ht="16.5" customHeight="1" thickBot="1" x14ac:dyDescent="0.25">
      <c r="A47" s="542" t="s">
        <v>271</v>
      </c>
      <c r="B47" s="543"/>
      <c r="C47" s="362">
        <f>C38+C41+C44</f>
        <v>57830</v>
      </c>
      <c r="D47" s="362">
        <f>D38+D41+D44</f>
        <v>57830</v>
      </c>
      <c r="E47" s="362">
        <f>E38+E41+E44</f>
        <v>33862.19</v>
      </c>
      <c r="F47" s="188">
        <f t="shared" si="5"/>
        <v>58.554712087152005</v>
      </c>
    </row>
    <row r="48" spans="1:23" s="94" customFormat="1" ht="16.5" customHeight="1" thickTop="1" x14ac:dyDescent="0.2">
      <c r="A48" s="127"/>
      <c r="B48" s="127"/>
      <c r="C48" s="308"/>
      <c r="D48" s="308"/>
      <c r="E48" s="308"/>
      <c r="F48" s="192"/>
    </row>
    <row r="49" spans="1:23" s="96" customFormat="1" x14ac:dyDescent="0.2">
      <c r="A49" s="108" t="s">
        <v>332</v>
      </c>
      <c r="B49" s="93"/>
      <c r="C49" s="306"/>
      <c r="D49" s="306"/>
      <c r="E49" s="306"/>
      <c r="F49" s="182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</row>
    <row r="50" spans="1:23" s="96" customFormat="1" ht="13.5" thickBot="1" x14ac:dyDescent="0.25">
      <c r="A50" s="416"/>
      <c r="B50" s="416"/>
      <c r="C50" s="416"/>
      <c r="D50" s="416"/>
      <c r="E50" s="416"/>
      <c r="F50" s="416"/>
    </row>
    <row r="51" spans="1:23" s="96" customFormat="1" ht="39.75" thickTop="1" thickBot="1" x14ac:dyDescent="0.25">
      <c r="A51" s="114" t="s">
        <v>243</v>
      </c>
      <c r="B51" s="115" t="s">
        <v>244</v>
      </c>
      <c r="C51" s="115" t="s">
        <v>324</v>
      </c>
      <c r="D51" s="115" t="s">
        <v>325</v>
      </c>
      <c r="E51" s="115" t="s">
        <v>326</v>
      </c>
      <c r="F51" s="183" t="s">
        <v>245</v>
      </c>
    </row>
    <row r="52" spans="1:23" s="96" customFormat="1" ht="14.25" thickTop="1" thickBot="1" x14ac:dyDescent="0.25">
      <c r="A52" s="540">
        <v>1</v>
      </c>
      <c r="B52" s="541"/>
      <c r="C52" s="115">
        <v>2</v>
      </c>
      <c r="D52" s="115">
        <v>3</v>
      </c>
      <c r="E52" s="115">
        <v>4</v>
      </c>
      <c r="F52" s="183" t="s">
        <v>246</v>
      </c>
    </row>
    <row r="53" spans="1:23" s="96" customFormat="1" ht="13.5" thickTop="1" x14ac:dyDescent="0.2">
      <c r="A53" s="133">
        <v>63</v>
      </c>
      <c r="B53" s="132" t="s">
        <v>247</v>
      </c>
      <c r="C53" s="361">
        <f>C54</f>
        <v>1974190</v>
      </c>
      <c r="D53" s="361">
        <f t="shared" ref="D53:F53" si="8">D54</f>
        <v>2132646</v>
      </c>
      <c r="E53" s="361">
        <f t="shared" si="8"/>
        <v>1036941.28</v>
      </c>
      <c r="F53" s="190">
        <f>E53/D53*100</f>
        <v>48.622287993412876</v>
      </c>
    </row>
    <row r="54" spans="1:23" s="96" customFormat="1" x14ac:dyDescent="0.2">
      <c r="A54" s="117">
        <v>636</v>
      </c>
      <c r="B54" s="112" t="s">
        <v>250</v>
      </c>
      <c r="C54" s="317">
        <f>C55+C56</f>
        <v>1974190</v>
      </c>
      <c r="D54" s="317">
        <f>D55+D56</f>
        <v>2132646</v>
      </c>
      <c r="E54" s="317">
        <f>E55+E56</f>
        <v>1036941.28</v>
      </c>
      <c r="F54" s="194"/>
    </row>
    <row r="55" spans="1:23" s="96" customFormat="1" x14ac:dyDescent="0.2">
      <c r="A55" s="119">
        <v>6361</v>
      </c>
      <c r="B55" s="109" t="s">
        <v>251</v>
      </c>
      <c r="C55" s="316">
        <v>1964190</v>
      </c>
      <c r="D55" s="316">
        <v>2122646</v>
      </c>
      <c r="E55" s="316">
        <v>1036941.28</v>
      </c>
      <c r="F55" s="186"/>
    </row>
    <row r="56" spans="1:23" s="96" customFormat="1" ht="13.5" thickBot="1" x14ac:dyDescent="0.25">
      <c r="A56" s="119">
        <v>6362</v>
      </c>
      <c r="B56" s="109" t="s">
        <v>252</v>
      </c>
      <c r="C56" s="316">
        <v>10000</v>
      </c>
      <c r="D56" s="316">
        <v>10000</v>
      </c>
      <c r="E56" s="316">
        <v>0</v>
      </c>
      <c r="F56" s="186"/>
    </row>
    <row r="57" spans="1:23" s="94" customFormat="1" ht="16.5" customHeight="1" thickBot="1" x14ac:dyDescent="0.25">
      <c r="A57" s="542" t="s">
        <v>272</v>
      </c>
      <c r="B57" s="543"/>
      <c r="C57" s="362">
        <f>C53</f>
        <v>1974190</v>
      </c>
      <c r="D57" s="362">
        <f>D53</f>
        <v>2132646</v>
      </c>
      <c r="E57" s="362">
        <f>E53</f>
        <v>1036941.28</v>
      </c>
      <c r="F57" s="188">
        <f t="shared" ref="F57" si="9">E57/D57*100</f>
        <v>48.622287993412876</v>
      </c>
    </row>
    <row r="58" spans="1:23" s="94" customFormat="1" ht="16.5" customHeight="1" thickTop="1" x14ac:dyDescent="0.2">
      <c r="A58" s="142"/>
      <c r="B58" s="142"/>
      <c r="C58" s="309"/>
      <c r="D58" s="309"/>
      <c r="E58" s="309"/>
      <c r="F58" s="195"/>
    </row>
    <row r="59" spans="1:23" s="101" customFormat="1" x14ac:dyDescent="0.2">
      <c r="A59" s="108" t="s">
        <v>333</v>
      </c>
      <c r="B59" s="370"/>
      <c r="C59" s="306"/>
      <c r="D59" s="306"/>
      <c r="E59" s="306"/>
      <c r="F59" s="182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</row>
    <row r="60" spans="1:23" s="101" customFormat="1" ht="13.5" thickBot="1" x14ac:dyDescent="0.25">
      <c r="A60" s="416"/>
      <c r="B60" s="416"/>
      <c r="C60" s="416"/>
      <c r="D60" s="416"/>
      <c r="E60" s="416"/>
      <c r="F60" s="416"/>
    </row>
    <row r="61" spans="1:23" s="101" customFormat="1" ht="39.75" thickTop="1" thickBot="1" x14ac:dyDescent="0.25">
      <c r="A61" s="114" t="s">
        <v>243</v>
      </c>
      <c r="B61" s="115" t="s">
        <v>244</v>
      </c>
      <c r="C61" s="115" t="s">
        <v>324</v>
      </c>
      <c r="D61" s="115" t="s">
        <v>325</v>
      </c>
      <c r="E61" s="115" t="s">
        <v>326</v>
      </c>
      <c r="F61" s="183" t="s">
        <v>245</v>
      </c>
    </row>
    <row r="62" spans="1:23" s="101" customFormat="1" ht="14.25" thickTop="1" thickBot="1" x14ac:dyDescent="0.25">
      <c r="A62" s="540">
        <v>1</v>
      </c>
      <c r="B62" s="541"/>
      <c r="C62" s="115">
        <v>2</v>
      </c>
      <c r="D62" s="115">
        <v>3</v>
      </c>
      <c r="E62" s="115">
        <v>4</v>
      </c>
      <c r="F62" s="183" t="s">
        <v>246</v>
      </c>
    </row>
    <row r="63" spans="1:23" s="101" customFormat="1" ht="13.5" thickTop="1" x14ac:dyDescent="0.2">
      <c r="A63" s="133">
        <v>63</v>
      </c>
      <c r="B63" s="132" t="s">
        <v>247</v>
      </c>
      <c r="C63" s="361">
        <f>C64+C66</f>
        <v>7900</v>
      </c>
      <c r="D63" s="361">
        <f t="shared" ref="D63:F63" si="10">D64+D66</f>
        <v>7900</v>
      </c>
      <c r="E63" s="361">
        <f t="shared" si="10"/>
        <v>385</v>
      </c>
      <c r="F63" s="190">
        <f>E63/D63*100</f>
        <v>4.8734177215189876</v>
      </c>
    </row>
    <row r="64" spans="1:23" s="101" customFormat="1" x14ac:dyDescent="0.2">
      <c r="A64" s="117">
        <v>634</v>
      </c>
      <c r="B64" s="112" t="s">
        <v>248</v>
      </c>
      <c r="C64" s="317">
        <f>C65</f>
        <v>6500</v>
      </c>
      <c r="D64" s="317">
        <f>D65</f>
        <v>6500</v>
      </c>
      <c r="E64" s="317">
        <f>E65</f>
        <v>0</v>
      </c>
      <c r="F64" s="194"/>
    </row>
    <row r="65" spans="1:23" s="101" customFormat="1" x14ac:dyDescent="0.2">
      <c r="A65" s="119">
        <v>6341</v>
      </c>
      <c r="B65" s="109" t="s">
        <v>249</v>
      </c>
      <c r="C65" s="316">
        <v>6500</v>
      </c>
      <c r="D65" s="316">
        <v>6500</v>
      </c>
      <c r="E65" s="316">
        <v>0</v>
      </c>
      <c r="F65" s="186"/>
    </row>
    <row r="66" spans="1:23" s="101" customFormat="1" x14ac:dyDescent="0.2">
      <c r="A66" s="117">
        <v>636</v>
      </c>
      <c r="B66" s="112" t="s">
        <v>250</v>
      </c>
      <c r="C66" s="317">
        <f>C67</f>
        <v>1400</v>
      </c>
      <c r="D66" s="317">
        <f t="shared" ref="D66:F66" si="11">D67</f>
        <v>1400</v>
      </c>
      <c r="E66" s="317">
        <f t="shared" si="11"/>
        <v>385</v>
      </c>
      <c r="F66" s="194"/>
    </row>
    <row r="67" spans="1:23" s="101" customFormat="1" ht="13.5" thickBot="1" x14ac:dyDescent="0.25">
      <c r="A67" s="119">
        <v>6361</v>
      </c>
      <c r="B67" s="109" t="s">
        <v>251</v>
      </c>
      <c r="C67" s="316">
        <v>1400</v>
      </c>
      <c r="D67" s="316">
        <v>1400</v>
      </c>
      <c r="E67" s="316">
        <v>385</v>
      </c>
      <c r="F67" s="186"/>
    </row>
    <row r="68" spans="1:23" s="371" customFormat="1" ht="16.5" customHeight="1" thickBot="1" x14ac:dyDescent="0.25">
      <c r="A68" s="542" t="s">
        <v>272</v>
      </c>
      <c r="B68" s="543"/>
      <c r="C68" s="362">
        <f>C63</f>
        <v>7900</v>
      </c>
      <c r="D68" s="362">
        <f>D63</f>
        <v>7900</v>
      </c>
      <c r="E68" s="362">
        <f>E63</f>
        <v>385</v>
      </c>
      <c r="F68" s="188">
        <f t="shared" ref="F68" si="12">E68/D68*100</f>
        <v>4.8734177215189876</v>
      </c>
    </row>
    <row r="69" spans="1:23" s="371" customFormat="1" ht="16.5" customHeight="1" thickTop="1" x14ac:dyDescent="0.2">
      <c r="A69" s="372"/>
      <c r="B69" s="372"/>
      <c r="C69" s="308"/>
      <c r="D69" s="308"/>
      <c r="E69" s="363"/>
      <c r="F69" s="192"/>
    </row>
    <row r="70" spans="1:23" s="96" customFormat="1" x14ac:dyDescent="0.2">
      <c r="A70" s="108" t="s">
        <v>331</v>
      </c>
      <c r="B70" s="93"/>
      <c r="C70" s="306"/>
      <c r="D70" s="306"/>
      <c r="E70" s="306"/>
      <c r="F70" s="182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</row>
    <row r="71" spans="1:23" s="96" customFormat="1" ht="13.5" thickBot="1" x14ac:dyDescent="0.25">
      <c r="A71" s="416"/>
      <c r="B71" s="416"/>
      <c r="C71" s="416"/>
      <c r="D71" s="416"/>
      <c r="E71" s="416"/>
      <c r="F71" s="416"/>
    </row>
    <row r="72" spans="1:23" s="96" customFormat="1" ht="39.75" thickTop="1" thickBot="1" x14ac:dyDescent="0.25">
      <c r="A72" s="114" t="s">
        <v>243</v>
      </c>
      <c r="B72" s="115" t="s">
        <v>244</v>
      </c>
      <c r="C72" s="115" t="s">
        <v>324</v>
      </c>
      <c r="D72" s="115" t="s">
        <v>325</v>
      </c>
      <c r="E72" s="115" t="s">
        <v>326</v>
      </c>
      <c r="F72" s="183" t="s">
        <v>245</v>
      </c>
    </row>
    <row r="73" spans="1:23" s="96" customFormat="1" ht="14.25" thickTop="1" thickBot="1" x14ac:dyDescent="0.25">
      <c r="A73" s="540">
        <v>1</v>
      </c>
      <c r="B73" s="541"/>
      <c r="C73" s="115">
        <v>2</v>
      </c>
      <c r="D73" s="115">
        <v>3</v>
      </c>
      <c r="E73" s="115">
        <v>4</v>
      </c>
      <c r="F73" s="183" t="s">
        <v>246</v>
      </c>
    </row>
    <row r="74" spans="1:23" s="101" customFormat="1" ht="13.5" thickTop="1" x14ac:dyDescent="0.2">
      <c r="A74" s="347">
        <v>66</v>
      </c>
      <c r="B74" s="132" t="s">
        <v>259</v>
      </c>
      <c r="C74" s="365">
        <f>C75</f>
        <v>4000</v>
      </c>
      <c r="D74" s="365">
        <f>D75</f>
        <v>4000</v>
      </c>
      <c r="E74" s="365">
        <f>E75</f>
        <v>300</v>
      </c>
      <c r="F74" s="348">
        <f t="shared" ref="F74" si="13">E74/D74*100</f>
        <v>7.5</v>
      </c>
    </row>
    <row r="75" spans="1:23" s="96" customFormat="1" x14ac:dyDescent="0.2">
      <c r="A75" s="116">
        <v>663</v>
      </c>
      <c r="B75" s="123" t="s">
        <v>262</v>
      </c>
      <c r="C75" s="315">
        <f>C76+C77</f>
        <v>4000</v>
      </c>
      <c r="D75" s="315">
        <f>D76+D77</f>
        <v>4000</v>
      </c>
      <c r="E75" s="315">
        <f>E76+E77</f>
        <v>300</v>
      </c>
      <c r="F75" s="191"/>
    </row>
    <row r="76" spans="1:23" s="96" customFormat="1" x14ac:dyDescent="0.2">
      <c r="A76" s="119">
        <v>6631</v>
      </c>
      <c r="B76" s="109" t="s">
        <v>175</v>
      </c>
      <c r="C76" s="316">
        <v>4000</v>
      </c>
      <c r="D76" s="316">
        <v>4000</v>
      </c>
      <c r="E76" s="316">
        <v>300</v>
      </c>
      <c r="F76" s="186"/>
    </row>
    <row r="77" spans="1:23" s="96" customFormat="1" ht="13.5" thickBot="1" x14ac:dyDescent="0.25">
      <c r="A77" s="119">
        <v>6632</v>
      </c>
      <c r="B77" s="109" t="s">
        <v>176</v>
      </c>
      <c r="C77" s="316">
        <v>0</v>
      </c>
      <c r="D77" s="316">
        <v>0</v>
      </c>
      <c r="E77" s="316">
        <v>0</v>
      </c>
      <c r="F77" s="186"/>
    </row>
    <row r="78" spans="1:23" s="94" customFormat="1" ht="16.5" customHeight="1" thickBot="1" x14ac:dyDescent="0.25">
      <c r="A78" s="542" t="s">
        <v>273</v>
      </c>
      <c r="B78" s="543"/>
      <c r="C78" s="362">
        <f>C75</f>
        <v>4000</v>
      </c>
      <c r="D78" s="362">
        <f>D75</f>
        <v>4000</v>
      </c>
      <c r="E78" s="362">
        <f>E75</f>
        <v>300</v>
      </c>
      <c r="F78" s="188">
        <f>E78/D78*100</f>
        <v>7.5</v>
      </c>
    </row>
    <row r="79" spans="1:23" s="379" customFormat="1" ht="16.5" customHeight="1" thickTop="1" x14ac:dyDescent="0.2">
      <c r="A79" s="381"/>
      <c r="B79" s="381"/>
      <c r="C79" s="363"/>
      <c r="D79" s="363"/>
      <c r="E79" s="363"/>
      <c r="F79" s="192"/>
    </row>
    <row r="80" spans="1:23" s="101" customFormat="1" x14ac:dyDescent="0.2">
      <c r="A80" s="108" t="s">
        <v>335</v>
      </c>
      <c r="B80" s="281"/>
      <c r="C80" s="306"/>
      <c r="D80" s="306"/>
      <c r="E80" s="306"/>
      <c r="F80" s="182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</row>
    <row r="81" spans="1:23" s="101" customFormat="1" ht="13.5" thickBot="1" x14ac:dyDescent="0.25">
      <c r="A81" s="416"/>
      <c r="B81" s="416"/>
      <c r="C81" s="416"/>
      <c r="D81" s="416"/>
      <c r="E81" s="416"/>
      <c r="F81" s="416"/>
    </row>
    <row r="82" spans="1:23" s="101" customFormat="1" ht="39.75" thickTop="1" thickBot="1" x14ac:dyDescent="0.25">
      <c r="A82" s="114" t="s">
        <v>243</v>
      </c>
      <c r="B82" s="115" t="s">
        <v>244</v>
      </c>
      <c r="C82" s="115" t="s">
        <v>324</v>
      </c>
      <c r="D82" s="115" t="s">
        <v>325</v>
      </c>
      <c r="E82" s="115" t="s">
        <v>326</v>
      </c>
      <c r="F82" s="183" t="s">
        <v>245</v>
      </c>
    </row>
    <row r="83" spans="1:23" s="101" customFormat="1" ht="14.25" thickTop="1" thickBot="1" x14ac:dyDescent="0.25">
      <c r="A83" s="540">
        <v>1</v>
      </c>
      <c r="B83" s="541"/>
      <c r="C83" s="115">
        <v>2</v>
      </c>
      <c r="D83" s="115">
        <v>3</v>
      </c>
      <c r="E83" s="115">
        <v>4</v>
      </c>
      <c r="F83" s="183" t="s">
        <v>246</v>
      </c>
    </row>
    <row r="84" spans="1:23" s="101" customFormat="1" ht="13.5" thickTop="1" x14ac:dyDescent="0.2">
      <c r="A84" s="130">
        <v>67</v>
      </c>
      <c r="B84" s="131" t="s">
        <v>263</v>
      </c>
      <c r="C84" s="361">
        <f>C85</f>
        <v>112360</v>
      </c>
      <c r="D84" s="361">
        <f>D85</f>
        <v>149681</v>
      </c>
      <c r="E84" s="361">
        <f>E85</f>
        <v>69406.64</v>
      </c>
      <c r="F84" s="184">
        <f>E84/D84*100</f>
        <v>46.369706241941195</v>
      </c>
    </row>
    <row r="85" spans="1:23" s="101" customFormat="1" x14ac:dyDescent="0.2">
      <c r="A85" s="128">
        <v>671</v>
      </c>
      <c r="B85" s="129" t="s">
        <v>264</v>
      </c>
      <c r="C85" s="315">
        <f>C86</f>
        <v>112360</v>
      </c>
      <c r="D85" s="315">
        <f t="shared" ref="D85:F85" si="14">D86</f>
        <v>149681</v>
      </c>
      <c r="E85" s="315">
        <f t="shared" si="14"/>
        <v>69406.64</v>
      </c>
      <c r="F85" s="185">
        <f t="shared" si="14"/>
        <v>0</v>
      </c>
    </row>
    <row r="86" spans="1:23" s="101" customFormat="1" ht="13.5" thickBot="1" x14ac:dyDescent="0.25">
      <c r="A86" s="118">
        <v>6711</v>
      </c>
      <c r="B86" s="111" t="s">
        <v>265</v>
      </c>
      <c r="C86" s="316">
        <v>112360</v>
      </c>
      <c r="D86" s="316">
        <f>115671+34010</f>
        <v>149681</v>
      </c>
      <c r="E86" s="316">
        <v>69406.64</v>
      </c>
      <c r="F86" s="186"/>
      <c r="G86" s="225"/>
    </row>
    <row r="87" spans="1:23" s="282" customFormat="1" ht="16.5" customHeight="1" thickBot="1" x14ac:dyDescent="0.25">
      <c r="A87" s="542" t="s">
        <v>269</v>
      </c>
      <c r="B87" s="543"/>
      <c r="C87" s="362">
        <f>C84</f>
        <v>112360</v>
      </c>
      <c r="D87" s="362">
        <f>D84</f>
        <v>149681</v>
      </c>
      <c r="E87" s="362">
        <f>E84</f>
        <v>69406.64</v>
      </c>
      <c r="F87" s="188">
        <f>E87/D87*100</f>
        <v>46.369706241941195</v>
      </c>
      <c r="G87" s="226"/>
    </row>
    <row r="88" spans="1:23" s="282" customFormat="1" ht="16.5" customHeight="1" thickTop="1" x14ac:dyDescent="0.2">
      <c r="A88" s="283"/>
      <c r="B88" s="283"/>
      <c r="C88" s="308"/>
      <c r="D88" s="308"/>
      <c r="E88" s="308"/>
      <c r="F88" s="192"/>
      <c r="G88" s="226"/>
    </row>
    <row r="89" spans="1:23" s="101" customFormat="1" x14ac:dyDescent="0.2">
      <c r="A89" s="108" t="s">
        <v>336</v>
      </c>
      <c r="B89" s="370"/>
      <c r="C89" s="306"/>
      <c r="D89" s="306"/>
      <c r="E89" s="306"/>
      <c r="F89" s="182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</row>
    <row r="90" spans="1:23" s="101" customFormat="1" ht="13.5" thickBot="1" x14ac:dyDescent="0.25">
      <c r="A90" s="416"/>
      <c r="B90" s="416"/>
      <c r="C90" s="416"/>
      <c r="D90" s="416"/>
      <c r="E90" s="416"/>
      <c r="F90" s="416"/>
    </row>
    <row r="91" spans="1:23" s="101" customFormat="1" ht="39.75" thickTop="1" thickBot="1" x14ac:dyDescent="0.25">
      <c r="A91" s="114" t="s">
        <v>243</v>
      </c>
      <c r="B91" s="115" t="s">
        <v>244</v>
      </c>
      <c r="C91" s="115" t="s">
        <v>324</v>
      </c>
      <c r="D91" s="115" t="s">
        <v>325</v>
      </c>
      <c r="E91" s="115" t="s">
        <v>326</v>
      </c>
      <c r="F91" s="183" t="s">
        <v>245</v>
      </c>
    </row>
    <row r="92" spans="1:23" s="101" customFormat="1" ht="14.25" thickTop="1" thickBot="1" x14ac:dyDescent="0.25">
      <c r="A92" s="540">
        <v>1</v>
      </c>
      <c r="B92" s="541"/>
      <c r="C92" s="115">
        <v>2</v>
      </c>
      <c r="D92" s="115">
        <v>3</v>
      </c>
      <c r="E92" s="115">
        <v>4</v>
      </c>
      <c r="F92" s="183" t="s">
        <v>246</v>
      </c>
    </row>
    <row r="93" spans="1:23" s="101" customFormat="1" ht="13.5" thickTop="1" x14ac:dyDescent="0.2">
      <c r="A93" s="130">
        <v>67</v>
      </c>
      <c r="B93" s="131" t="s">
        <v>263</v>
      </c>
      <c r="C93" s="361">
        <f>C94</f>
        <v>10440</v>
      </c>
      <c r="D93" s="361">
        <f>D94</f>
        <v>11426</v>
      </c>
      <c r="E93" s="361">
        <f>E94</f>
        <v>2742.92</v>
      </c>
      <c r="F93" s="184">
        <f>E93/D93*100</f>
        <v>24.005951339051286</v>
      </c>
    </row>
    <row r="94" spans="1:23" s="101" customFormat="1" x14ac:dyDescent="0.2">
      <c r="A94" s="128">
        <v>671</v>
      </c>
      <c r="B94" s="129" t="s">
        <v>264</v>
      </c>
      <c r="C94" s="315">
        <f>C95+C96</f>
        <v>10440</v>
      </c>
      <c r="D94" s="315">
        <f>D95+D96</f>
        <v>11426</v>
      </c>
      <c r="E94" s="315">
        <f>E95+E96</f>
        <v>2742.92</v>
      </c>
      <c r="F94" s="185"/>
    </row>
    <row r="95" spans="1:23" s="101" customFormat="1" x14ac:dyDescent="0.2">
      <c r="A95" s="118">
        <v>6711</v>
      </c>
      <c r="B95" s="111" t="s">
        <v>265</v>
      </c>
      <c r="C95" s="316">
        <v>5440</v>
      </c>
      <c r="D95" s="316">
        <v>5440</v>
      </c>
      <c r="E95" s="316">
        <v>1756.54</v>
      </c>
      <c r="F95" s="186"/>
      <c r="G95" s="225"/>
    </row>
    <row r="96" spans="1:23" s="101" customFormat="1" ht="13.5" thickBot="1" x14ac:dyDescent="0.25">
      <c r="A96" s="125">
        <v>6712</v>
      </c>
      <c r="B96" s="126" t="s">
        <v>266</v>
      </c>
      <c r="C96" s="53">
        <v>5000</v>
      </c>
      <c r="D96" s="53">
        <f>5000+986</f>
        <v>5986</v>
      </c>
      <c r="E96" s="53">
        <v>986.38</v>
      </c>
      <c r="F96" s="187"/>
      <c r="G96" s="225"/>
    </row>
    <row r="97" spans="1:23" s="371" customFormat="1" ht="16.5" customHeight="1" thickBot="1" x14ac:dyDescent="0.25">
      <c r="A97" s="542" t="s">
        <v>269</v>
      </c>
      <c r="B97" s="543"/>
      <c r="C97" s="362">
        <f>C93</f>
        <v>10440</v>
      </c>
      <c r="D97" s="362">
        <f>D93</f>
        <v>11426</v>
      </c>
      <c r="E97" s="362">
        <f>E93</f>
        <v>2742.92</v>
      </c>
      <c r="F97" s="188">
        <f>E97/D97*100</f>
        <v>24.005951339051286</v>
      </c>
      <c r="G97" s="226"/>
    </row>
    <row r="98" spans="1:23" s="371" customFormat="1" ht="16.5" customHeight="1" thickTop="1" x14ac:dyDescent="0.2">
      <c r="A98" s="372"/>
      <c r="B98" s="372"/>
      <c r="C98" s="308"/>
      <c r="D98" s="308"/>
      <c r="E98" s="363"/>
      <c r="F98" s="192"/>
      <c r="G98" s="226"/>
    </row>
    <row r="99" spans="1:23" s="101" customFormat="1" x14ac:dyDescent="0.2">
      <c r="A99" s="108" t="s">
        <v>334</v>
      </c>
      <c r="B99" s="370"/>
      <c r="C99" s="306"/>
      <c r="D99" s="306"/>
      <c r="E99" s="306"/>
      <c r="F99" s="182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</row>
    <row r="100" spans="1:23" s="101" customFormat="1" ht="13.5" thickBot="1" x14ac:dyDescent="0.25">
      <c r="A100" s="416"/>
      <c r="B100" s="416"/>
      <c r="C100" s="416"/>
      <c r="D100" s="416"/>
      <c r="E100" s="416"/>
      <c r="F100" s="416"/>
    </row>
    <row r="101" spans="1:23" s="101" customFormat="1" ht="39.75" thickTop="1" thickBot="1" x14ac:dyDescent="0.25">
      <c r="A101" s="114" t="s">
        <v>243</v>
      </c>
      <c r="B101" s="115" t="s">
        <v>244</v>
      </c>
      <c r="C101" s="115" t="s">
        <v>324</v>
      </c>
      <c r="D101" s="115" t="s">
        <v>325</v>
      </c>
      <c r="E101" s="115" t="s">
        <v>326</v>
      </c>
      <c r="F101" s="183" t="s">
        <v>245</v>
      </c>
    </row>
    <row r="102" spans="1:23" s="101" customFormat="1" ht="14.25" thickTop="1" thickBot="1" x14ac:dyDescent="0.25">
      <c r="A102" s="540">
        <v>1</v>
      </c>
      <c r="B102" s="541"/>
      <c r="C102" s="115">
        <v>2</v>
      </c>
      <c r="D102" s="115">
        <v>3</v>
      </c>
      <c r="E102" s="115">
        <v>4</v>
      </c>
      <c r="F102" s="183" t="s">
        <v>246</v>
      </c>
    </row>
    <row r="103" spans="1:23" s="101" customFormat="1" ht="13.5" thickTop="1" x14ac:dyDescent="0.2">
      <c r="A103" s="133">
        <v>63</v>
      </c>
      <c r="B103" s="132" t="s">
        <v>247</v>
      </c>
      <c r="C103" s="361">
        <f>C104</f>
        <v>60000</v>
      </c>
      <c r="D103" s="361">
        <f t="shared" ref="D103:F103" si="15">D104</f>
        <v>65534</v>
      </c>
      <c r="E103" s="361">
        <f t="shared" si="15"/>
        <v>33793.800000000003</v>
      </c>
      <c r="F103" s="190">
        <f>E103/D103*100</f>
        <v>51.566820276497708</v>
      </c>
    </row>
    <row r="104" spans="1:23" s="101" customFormat="1" x14ac:dyDescent="0.2">
      <c r="A104" s="117">
        <v>639</v>
      </c>
      <c r="B104" s="112" t="s">
        <v>193</v>
      </c>
      <c r="C104" s="317">
        <f>C105</f>
        <v>60000</v>
      </c>
      <c r="D104" s="317">
        <f>D105</f>
        <v>65534</v>
      </c>
      <c r="E104" s="317">
        <f>E105</f>
        <v>33793.800000000003</v>
      </c>
      <c r="F104" s="194"/>
    </row>
    <row r="105" spans="1:23" s="101" customFormat="1" ht="12.75" customHeight="1" thickBot="1" x14ac:dyDescent="0.25">
      <c r="A105" s="120">
        <v>6393</v>
      </c>
      <c r="B105" s="124" t="s">
        <v>194</v>
      </c>
      <c r="C105" s="316">
        <v>60000</v>
      </c>
      <c r="D105" s="316">
        <v>65534</v>
      </c>
      <c r="E105" s="316">
        <v>33793.800000000003</v>
      </c>
      <c r="F105" s="186"/>
    </row>
    <row r="106" spans="1:23" s="371" customFormat="1" ht="16.5" customHeight="1" thickBot="1" x14ac:dyDescent="0.25">
      <c r="A106" s="542" t="s">
        <v>272</v>
      </c>
      <c r="B106" s="543"/>
      <c r="C106" s="362">
        <f>C103</f>
        <v>60000</v>
      </c>
      <c r="D106" s="362">
        <f>D103</f>
        <v>65534</v>
      </c>
      <c r="E106" s="362">
        <f>E103</f>
        <v>33793.800000000003</v>
      </c>
      <c r="F106" s="188">
        <f t="shared" ref="F106" si="16">E106/D106*100</f>
        <v>51.566820276497708</v>
      </c>
    </row>
    <row r="107" spans="1:23" s="371" customFormat="1" ht="16.5" customHeight="1" thickTop="1" thickBot="1" x14ac:dyDescent="0.25">
      <c r="A107" s="372"/>
      <c r="B107" s="372"/>
      <c r="C107" s="308"/>
      <c r="D107" s="308"/>
      <c r="E107" s="363"/>
      <c r="F107" s="192"/>
    </row>
    <row r="108" spans="1:23" s="94" customFormat="1" ht="16.5" customHeight="1" thickTop="1" x14ac:dyDescent="0.2">
      <c r="A108" s="142"/>
      <c r="B108" s="142"/>
      <c r="C108" s="309"/>
      <c r="D108" s="309"/>
      <c r="E108" s="309"/>
      <c r="F108" s="195"/>
    </row>
    <row r="109" spans="1:23" s="94" customFormat="1" ht="16.5" customHeight="1" x14ac:dyDescent="0.2">
      <c r="A109" s="544" t="s">
        <v>278</v>
      </c>
      <c r="B109" s="544"/>
      <c r="C109" s="308"/>
      <c r="D109" s="308"/>
      <c r="E109" s="308"/>
      <c r="F109" s="192"/>
    </row>
    <row r="110" spans="1:23" s="94" customFormat="1" ht="12.75" customHeight="1" x14ac:dyDescent="0.2">
      <c r="A110" s="127"/>
      <c r="B110" s="127"/>
      <c r="C110" s="308"/>
      <c r="D110" s="308"/>
      <c r="E110" s="308"/>
      <c r="F110" s="192"/>
    </row>
    <row r="111" spans="1:23" s="96" customFormat="1" x14ac:dyDescent="0.2">
      <c r="A111" s="108" t="s">
        <v>363</v>
      </c>
      <c r="B111" s="93"/>
      <c r="C111" s="306"/>
      <c r="D111" s="306"/>
      <c r="E111" s="306"/>
      <c r="F111" s="182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</row>
    <row r="112" spans="1:23" s="96" customFormat="1" ht="13.5" thickBot="1" x14ac:dyDescent="0.25">
      <c r="A112" s="416"/>
      <c r="B112" s="416"/>
      <c r="C112" s="416"/>
      <c r="D112" s="416"/>
      <c r="E112" s="416"/>
      <c r="F112" s="416"/>
    </row>
    <row r="113" spans="1:23" s="96" customFormat="1" ht="39.75" thickTop="1" thickBot="1" x14ac:dyDescent="0.25">
      <c r="A113" s="114" t="s">
        <v>243</v>
      </c>
      <c r="B113" s="115" t="s">
        <v>244</v>
      </c>
      <c r="C113" s="115" t="s">
        <v>324</v>
      </c>
      <c r="D113" s="115" t="s">
        <v>325</v>
      </c>
      <c r="E113" s="115" t="s">
        <v>326</v>
      </c>
      <c r="F113" s="183" t="s">
        <v>245</v>
      </c>
    </row>
    <row r="114" spans="1:23" s="96" customFormat="1" ht="14.25" thickTop="1" thickBot="1" x14ac:dyDescent="0.25">
      <c r="A114" s="540">
        <v>1</v>
      </c>
      <c r="B114" s="541"/>
      <c r="C114" s="115">
        <v>2</v>
      </c>
      <c r="D114" s="115">
        <v>3</v>
      </c>
      <c r="E114" s="115">
        <v>4</v>
      </c>
      <c r="F114" s="183" t="s">
        <v>246</v>
      </c>
    </row>
    <row r="115" spans="1:23" s="96" customFormat="1" ht="13.5" thickTop="1" x14ac:dyDescent="0.2">
      <c r="A115" s="130">
        <v>92</v>
      </c>
      <c r="B115" s="132" t="s">
        <v>275</v>
      </c>
      <c r="C115" s="361">
        <f>C116</f>
        <v>0</v>
      </c>
      <c r="D115" s="361">
        <f>D116</f>
        <v>5751</v>
      </c>
      <c r="E115" s="361">
        <f>E116</f>
        <v>0</v>
      </c>
      <c r="F115" s="190">
        <f>E115/D115*100</f>
        <v>0</v>
      </c>
    </row>
    <row r="116" spans="1:23" s="96" customFormat="1" x14ac:dyDescent="0.2">
      <c r="A116" s="128">
        <v>922</v>
      </c>
      <c r="B116" s="123" t="s">
        <v>276</v>
      </c>
      <c r="C116" s="315">
        <f>C117+C118</f>
        <v>0</v>
      </c>
      <c r="D116" s="315">
        <f>D117+D118</f>
        <v>5751</v>
      </c>
      <c r="E116" s="315">
        <f>E117+E118</f>
        <v>0</v>
      </c>
      <c r="F116" s="191"/>
    </row>
    <row r="117" spans="1:23" s="96" customFormat="1" x14ac:dyDescent="0.2">
      <c r="A117" s="119">
        <v>92211</v>
      </c>
      <c r="B117" s="109" t="s">
        <v>274</v>
      </c>
      <c r="C117" s="316">
        <v>0</v>
      </c>
      <c r="D117" s="316">
        <v>2526</v>
      </c>
      <c r="E117" s="316">
        <v>0</v>
      </c>
      <c r="F117" s="186"/>
    </row>
    <row r="118" spans="1:23" s="101" customFormat="1" ht="13.5" thickBot="1" x14ac:dyDescent="0.25">
      <c r="A118" s="119">
        <v>92212</v>
      </c>
      <c r="B118" s="109" t="s">
        <v>295</v>
      </c>
      <c r="C118" s="316">
        <v>0</v>
      </c>
      <c r="D118" s="316">
        <v>3225</v>
      </c>
      <c r="E118" s="316">
        <v>0</v>
      </c>
      <c r="F118" s="186"/>
    </row>
    <row r="119" spans="1:23" s="94" customFormat="1" ht="16.5" customHeight="1" thickBot="1" x14ac:dyDescent="0.25">
      <c r="A119" s="542" t="s">
        <v>277</v>
      </c>
      <c r="B119" s="543"/>
      <c r="C119" s="362">
        <f>C115</f>
        <v>0</v>
      </c>
      <c r="D119" s="362">
        <f>D115</f>
        <v>5751</v>
      </c>
      <c r="E119" s="362">
        <f>E115</f>
        <v>0</v>
      </c>
      <c r="F119" s="188">
        <f>E119/D119*100</f>
        <v>0</v>
      </c>
    </row>
    <row r="120" spans="1:23" s="94" customFormat="1" ht="16.5" customHeight="1" thickTop="1" x14ac:dyDescent="0.2">
      <c r="A120" s="127"/>
      <c r="B120" s="127"/>
      <c r="C120" s="308"/>
      <c r="D120" s="308"/>
      <c r="E120" s="363"/>
      <c r="F120" s="192"/>
    </row>
    <row r="121" spans="1:23" s="101" customFormat="1" x14ac:dyDescent="0.2">
      <c r="A121" s="108" t="s">
        <v>362</v>
      </c>
      <c r="B121" s="378"/>
      <c r="C121" s="306"/>
      <c r="D121" s="306"/>
      <c r="E121" s="306"/>
      <c r="F121" s="182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</row>
    <row r="122" spans="1:23" s="101" customFormat="1" ht="13.5" thickBot="1" x14ac:dyDescent="0.25">
      <c r="A122" s="416"/>
      <c r="B122" s="416"/>
      <c r="C122" s="416"/>
      <c r="D122" s="416"/>
      <c r="E122" s="416"/>
      <c r="F122" s="416"/>
    </row>
    <row r="123" spans="1:23" s="101" customFormat="1" ht="39.75" thickTop="1" thickBot="1" x14ac:dyDescent="0.25">
      <c r="A123" s="114" t="s">
        <v>243</v>
      </c>
      <c r="B123" s="115" t="s">
        <v>244</v>
      </c>
      <c r="C123" s="115" t="s">
        <v>324</v>
      </c>
      <c r="D123" s="115" t="s">
        <v>325</v>
      </c>
      <c r="E123" s="115" t="s">
        <v>326</v>
      </c>
      <c r="F123" s="183" t="s">
        <v>245</v>
      </c>
    </row>
    <row r="124" spans="1:23" s="101" customFormat="1" ht="14.25" thickTop="1" thickBot="1" x14ac:dyDescent="0.25">
      <c r="A124" s="540">
        <v>1</v>
      </c>
      <c r="B124" s="541"/>
      <c r="C124" s="115">
        <v>2</v>
      </c>
      <c r="D124" s="115">
        <v>3</v>
      </c>
      <c r="E124" s="115">
        <v>4</v>
      </c>
      <c r="F124" s="183" t="s">
        <v>246</v>
      </c>
    </row>
    <row r="125" spans="1:23" s="101" customFormat="1" ht="13.5" thickTop="1" x14ac:dyDescent="0.2">
      <c r="A125" s="130">
        <v>92</v>
      </c>
      <c r="B125" s="132" t="s">
        <v>275</v>
      </c>
      <c r="C125" s="361">
        <f t="shared" ref="C125:E126" si="17">C126</f>
        <v>0</v>
      </c>
      <c r="D125" s="361">
        <f t="shared" si="17"/>
        <v>790</v>
      </c>
      <c r="E125" s="361">
        <f t="shared" si="17"/>
        <v>0</v>
      </c>
      <c r="F125" s="190">
        <f>E125/D125*100</f>
        <v>0</v>
      </c>
    </row>
    <row r="126" spans="1:23" s="101" customFormat="1" x14ac:dyDescent="0.2">
      <c r="A126" s="128">
        <v>922</v>
      </c>
      <c r="B126" s="123" t="s">
        <v>276</v>
      </c>
      <c r="C126" s="315">
        <f>C127</f>
        <v>0</v>
      </c>
      <c r="D126" s="315">
        <f t="shared" si="17"/>
        <v>790</v>
      </c>
      <c r="E126" s="315">
        <f t="shared" si="17"/>
        <v>0</v>
      </c>
      <c r="F126" s="191"/>
    </row>
    <row r="127" spans="1:23" s="101" customFormat="1" ht="13.5" thickBot="1" x14ac:dyDescent="0.25">
      <c r="A127" s="119">
        <v>92211</v>
      </c>
      <c r="B127" s="109" t="s">
        <v>274</v>
      </c>
      <c r="C127" s="316">
        <v>0</v>
      </c>
      <c r="D127" s="316">
        <v>790</v>
      </c>
      <c r="E127" s="316">
        <v>0</v>
      </c>
      <c r="F127" s="186"/>
    </row>
    <row r="128" spans="1:23" s="379" customFormat="1" ht="16.5" customHeight="1" thickBot="1" x14ac:dyDescent="0.25">
      <c r="A128" s="542" t="s">
        <v>279</v>
      </c>
      <c r="B128" s="543"/>
      <c r="C128" s="362">
        <f>C125</f>
        <v>0</v>
      </c>
      <c r="D128" s="362">
        <f>D125</f>
        <v>790</v>
      </c>
      <c r="E128" s="362">
        <f>E125</f>
        <v>0</v>
      </c>
      <c r="F128" s="188">
        <f>E128/D128*100</f>
        <v>0</v>
      </c>
    </row>
    <row r="129" spans="1:23" s="379" customFormat="1" ht="16.5" customHeight="1" thickTop="1" x14ac:dyDescent="0.2">
      <c r="A129" s="381"/>
      <c r="B129" s="381"/>
      <c r="C129" s="363"/>
      <c r="D129" s="308"/>
      <c r="E129" s="363"/>
      <c r="F129" s="192"/>
    </row>
    <row r="130" spans="1:23" s="96" customFormat="1" x14ac:dyDescent="0.2">
      <c r="A130" s="108" t="s">
        <v>364</v>
      </c>
      <c r="B130" s="93"/>
      <c r="C130" s="306"/>
      <c r="D130" s="306"/>
      <c r="E130" s="306"/>
      <c r="F130" s="182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</row>
    <row r="131" spans="1:23" s="96" customFormat="1" ht="13.5" thickBot="1" x14ac:dyDescent="0.25">
      <c r="A131" s="416"/>
      <c r="B131" s="416"/>
      <c r="C131" s="416"/>
      <c r="D131" s="416"/>
      <c r="E131" s="416"/>
      <c r="F131" s="416"/>
    </row>
    <row r="132" spans="1:23" s="96" customFormat="1" ht="39.75" thickTop="1" thickBot="1" x14ac:dyDescent="0.25">
      <c r="A132" s="114" t="s">
        <v>243</v>
      </c>
      <c r="B132" s="115" t="s">
        <v>244</v>
      </c>
      <c r="C132" s="115" t="s">
        <v>324</v>
      </c>
      <c r="D132" s="115" t="s">
        <v>325</v>
      </c>
      <c r="E132" s="115" t="s">
        <v>326</v>
      </c>
      <c r="F132" s="183" t="s">
        <v>245</v>
      </c>
    </row>
    <row r="133" spans="1:23" s="96" customFormat="1" ht="14.25" thickTop="1" thickBot="1" x14ac:dyDescent="0.25">
      <c r="A133" s="540">
        <v>1</v>
      </c>
      <c r="B133" s="541"/>
      <c r="C133" s="115">
        <v>2</v>
      </c>
      <c r="D133" s="115">
        <v>3</v>
      </c>
      <c r="E133" s="115">
        <v>4</v>
      </c>
      <c r="F133" s="183" t="s">
        <v>246</v>
      </c>
    </row>
    <row r="134" spans="1:23" s="96" customFormat="1" ht="13.5" thickTop="1" x14ac:dyDescent="0.2">
      <c r="A134" s="130">
        <v>92</v>
      </c>
      <c r="B134" s="132" t="s">
        <v>275</v>
      </c>
      <c r="C134" s="361">
        <f t="shared" ref="C134:E135" si="18">C135</f>
        <v>0</v>
      </c>
      <c r="D134" s="361">
        <f t="shared" si="18"/>
        <v>484</v>
      </c>
      <c r="E134" s="361">
        <f t="shared" si="18"/>
        <v>0</v>
      </c>
      <c r="F134" s="190">
        <f>E134/D134*100</f>
        <v>0</v>
      </c>
    </row>
    <row r="135" spans="1:23" s="96" customFormat="1" x14ac:dyDescent="0.2">
      <c r="A135" s="128">
        <v>922</v>
      </c>
      <c r="B135" s="123" t="s">
        <v>276</v>
      </c>
      <c r="C135" s="315">
        <f>C136</f>
        <v>0</v>
      </c>
      <c r="D135" s="315">
        <f t="shared" si="18"/>
        <v>484</v>
      </c>
      <c r="E135" s="315">
        <f t="shared" si="18"/>
        <v>0</v>
      </c>
      <c r="F135" s="191"/>
    </row>
    <row r="136" spans="1:23" s="96" customFormat="1" ht="13.5" thickBot="1" x14ac:dyDescent="0.25">
      <c r="A136" s="119">
        <v>92211</v>
      </c>
      <c r="B136" s="109" t="s">
        <v>274</v>
      </c>
      <c r="C136" s="316">
        <v>0</v>
      </c>
      <c r="D136" s="316">
        <v>484</v>
      </c>
      <c r="E136" s="316">
        <v>0</v>
      </c>
      <c r="F136" s="186"/>
    </row>
    <row r="137" spans="1:23" s="94" customFormat="1" ht="16.5" customHeight="1" thickBot="1" x14ac:dyDescent="0.25">
      <c r="A137" s="542" t="s">
        <v>279</v>
      </c>
      <c r="B137" s="543"/>
      <c r="C137" s="362">
        <f>C134</f>
        <v>0</v>
      </c>
      <c r="D137" s="362">
        <f>D134</f>
        <v>484</v>
      </c>
      <c r="E137" s="362">
        <f>E134</f>
        <v>0</v>
      </c>
      <c r="F137" s="188">
        <f>E137/D137*100</f>
        <v>0</v>
      </c>
    </row>
    <row r="138" spans="1:23" s="149" customFormat="1" ht="16.5" customHeight="1" thickTop="1" x14ac:dyDescent="0.2">
      <c r="A138" s="147"/>
      <c r="B138" s="148" t="s">
        <v>280</v>
      </c>
      <c r="C138" s="405">
        <f>C87+C97+C20+C32+C47+C57+C68+C106+C78</f>
        <v>2406235</v>
      </c>
      <c r="D138" s="405">
        <f>D87+D97+D20+D32+D47+D57+D68+D106+D78</f>
        <v>2632816</v>
      </c>
      <c r="E138" s="405">
        <f>E87+E97+E20+E32+E47+E57+E68+E106+E78</f>
        <v>1257743.1500000001</v>
      </c>
      <c r="F138" s="196">
        <f t="shared" ref="F138:F140" si="19">E138/D138*100</f>
        <v>47.771783140181469</v>
      </c>
    </row>
    <row r="139" spans="1:23" s="149" customFormat="1" ht="16.5" customHeight="1" x14ac:dyDescent="0.2">
      <c r="A139" s="150"/>
      <c r="B139" s="151" t="s">
        <v>281</v>
      </c>
      <c r="C139" s="406">
        <f>C119+C128+C137</f>
        <v>0</v>
      </c>
      <c r="D139" s="406">
        <f t="shared" ref="D139:E139" si="20">D119+D128+D137</f>
        <v>7025</v>
      </c>
      <c r="E139" s="406">
        <f t="shared" si="20"/>
        <v>0</v>
      </c>
      <c r="F139" s="197">
        <f t="shared" si="19"/>
        <v>0</v>
      </c>
    </row>
    <row r="140" spans="1:23" s="149" customFormat="1" ht="16.5" customHeight="1" thickBot="1" x14ac:dyDescent="0.25">
      <c r="A140" s="152"/>
      <c r="B140" s="153" t="s">
        <v>282</v>
      </c>
      <c r="C140" s="407">
        <f>C138+C139</f>
        <v>2406235</v>
      </c>
      <c r="D140" s="407">
        <f>D138+D139</f>
        <v>2639841</v>
      </c>
      <c r="E140" s="407">
        <f>E138+E139</f>
        <v>1257743.1500000001</v>
      </c>
      <c r="F140" s="198">
        <f t="shared" si="19"/>
        <v>47.644655492508839</v>
      </c>
    </row>
    <row r="141" spans="1:23" s="149" customFormat="1" ht="16.5" customHeight="1" thickTop="1" x14ac:dyDescent="0.2">
      <c r="A141" s="155"/>
      <c r="B141" s="155"/>
      <c r="C141" s="309"/>
      <c r="D141" s="309"/>
      <c r="E141" s="309"/>
      <c r="F141" s="199"/>
    </row>
    <row r="142" spans="1:23" s="149" customFormat="1" ht="16.5" customHeight="1" x14ac:dyDescent="0.2">
      <c r="A142" s="544" t="s">
        <v>283</v>
      </c>
      <c r="B142" s="544"/>
      <c r="C142" s="544"/>
      <c r="D142" s="544"/>
      <c r="E142" s="544"/>
      <c r="F142" s="544"/>
    </row>
    <row r="143" spans="1:23" s="101" customFormat="1" x14ac:dyDescent="0.2">
      <c r="A143" s="178"/>
      <c r="B143" s="179"/>
      <c r="C143" s="311"/>
      <c r="D143" s="311"/>
      <c r="E143" s="311"/>
      <c r="F143" s="205"/>
    </row>
    <row r="144" spans="1:23" s="149" customFormat="1" ht="16.5" customHeight="1" x14ac:dyDescent="0.2">
      <c r="A144" s="156" t="s">
        <v>354</v>
      </c>
      <c r="B144" s="143"/>
      <c r="C144" s="310"/>
      <c r="D144" s="310"/>
      <c r="E144" s="310"/>
      <c r="F144" s="200"/>
    </row>
    <row r="145" spans="1:23" s="149" customFormat="1" ht="16.5" customHeight="1" x14ac:dyDescent="0.2">
      <c r="A145" s="156" t="s">
        <v>355</v>
      </c>
      <c r="B145" s="143"/>
      <c r="C145" s="310"/>
      <c r="D145" s="310"/>
      <c r="E145" s="310"/>
      <c r="F145" s="200"/>
    </row>
    <row r="146" spans="1:23" s="149" customFormat="1" ht="12.75" customHeight="1" x14ac:dyDescent="0.2">
      <c r="A146" s="156"/>
      <c r="B146" s="143"/>
      <c r="C146" s="310"/>
      <c r="D146" s="310"/>
      <c r="E146" s="310"/>
      <c r="F146" s="200"/>
    </row>
    <row r="147" spans="1:23" s="101" customFormat="1" x14ac:dyDescent="0.2">
      <c r="A147" s="108" t="s">
        <v>356</v>
      </c>
      <c r="B147" s="100"/>
      <c r="C147" s="306"/>
      <c r="D147" s="306"/>
      <c r="E147" s="306"/>
      <c r="F147" s="182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</row>
    <row r="148" spans="1:23" s="101" customFormat="1" ht="13.5" thickBot="1" x14ac:dyDescent="0.25">
      <c r="A148" s="416"/>
      <c r="B148" s="416"/>
      <c r="C148" s="416"/>
      <c r="D148" s="416"/>
      <c r="E148" s="416"/>
      <c r="F148" s="416"/>
    </row>
    <row r="149" spans="1:23" s="101" customFormat="1" ht="39.75" thickTop="1" thickBot="1" x14ac:dyDescent="0.25">
      <c r="A149" s="114" t="s">
        <v>284</v>
      </c>
      <c r="B149" s="115" t="s">
        <v>244</v>
      </c>
      <c r="C149" s="115" t="s">
        <v>324</v>
      </c>
      <c r="D149" s="115" t="s">
        <v>325</v>
      </c>
      <c r="E149" s="115" t="s">
        <v>326</v>
      </c>
      <c r="F149" s="183" t="s">
        <v>245</v>
      </c>
    </row>
    <row r="150" spans="1:23" s="101" customFormat="1" ht="14.25" thickTop="1" thickBot="1" x14ac:dyDescent="0.25">
      <c r="A150" s="540">
        <v>1</v>
      </c>
      <c r="B150" s="541"/>
      <c r="C150" s="115">
        <v>2</v>
      </c>
      <c r="D150" s="115">
        <v>3</v>
      </c>
      <c r="E150" s="115">
        <v>4</v>
      </c>
      <c r="F150" s="183" t="s">
        <v>246</v>
      </c>
    </row>
    <row r="151" spans="1:23" ht="13.5" thickTop="1" x14ac:dyDescent="0.2">
      <c r="A151" s="347" t="s">
        <v>6</v>
      </c>
      <c r="B151" s="132" t="s">
        <v>195</v>
      </c>
      <c r="C151" s="356">
        <f>C152+C159+C165</f>
        <v>155435</v>
      </c>
      <c r="D151" s="356">
        <f>D152+D159+D165</f>
        <v>173685</v>
      </c>
      <c r="E151" s="356">
        <f>E152+E159+E165</f>
        <v>77453.430000000008</v>
      </c>
      <c r="F151" s="348">
        <f t="shared" ref="F151:F165" si="21">E151/D151*100</f>
        <v>44.594196390016414</v>
      </c>
    </row>
    <row r="152" spans="1:23" x14ac:dyDescent="0.2">
      <c r="A152" s="349" t="s">
        <v>196</v>
      </c>
      <c r="B152" s="139" t="s">
        <v>202</v>
      </c>
      <c r="C152" s="357">
        <f>C153+C155+C157</f>
        <v>113995</v>
      </c>
      <c r="D152" s="357">
        <f>D153+D155+D157</f>
        <v>126145</v>
      </c>
      <c r="E152" s="357">
        <f>E153+E155+E157</f>
        <v>74382.23000000001</v>
      </c>
      <c r="F152" s="350">
        <f t="shared" si="21"/>
        <v>58.965658567521508</v>
      </c>
    </row>
    <row r="153" spans="1:23" x14ac:dyDescent="0.2">
      <c r="A153" s="223" t="s">
        <v>96</v>
      </c>
      <c r="B153" s="123" t="s">
        <v>97</v>
      </c>
      <c r="C153" s="329">
        <f>C154</f>
        <v>94455</v>
      </c>
      <c r="D153" s="329">
        <f t="shared" ref="D153:E153" si="22">D154</f>
        <v>103505</v>
      </c>
      <c r="E153" s="329">
        <f t="shared" si="22"/>
        <v>62896.01</v>
      </c>
      <c r="F153" s="330"/>
    </row>
    <row r="154" spans="1:23" x14ac:dyDescent="0.2">
      <c r="A154" s="119" t="s">
        <v>98</v>
      </c>
      <c r="B154" s="110" t="s">
        <v>99</v>
      </c>
      <c r="C154" s="157">
        <v>94455</v>
      </c>
      <c r="D154" s="157">
        <v>103505</v>
      </c>
      <c r="E154" s="157">
        <v>62896.01</v>
      </c>
      <c r="F154" s="203"/>
    </row>
    <row r="155" spans="1:23" x14ac:dyDescent="0.2">
      <c r="A155" s="121" t="s">
        <v>102</v>
      </c>
      <c r="B155" s="112" t="s">
        <v>103</v>
      </c>
      <c r="C155" s="158">
        <f>C156</f>
        <v>3900</v>
      </c>
      <c r="D155" s="158">
        <f>D156</f>
        <v>5500</v>
      </c>
      <c r="E155" s="158">
        <f>E156</f>
        <v>3100</v>
      </c>
      <c r="F155" s="201"/>
    </row>
    <row r="156" spans="1:23" x14ac:dyDescent="0.2">
      <c r="A156" s="119" t="s">
        <v>104</v>
      </c>
      <c r="B156" s="110" t="s">
        <v>103</v>
      </c>
      <c r="C156" s="157">
        <v>3900</v>
      </c>
      <c r="D156" s="157">
        <v>5500</v>
      </c>
      <c r="E156" s="157">
        <v>3100</v>
      </c>
      <c r="F156" s="203"/>
    </row>
    <row r="157" spans="1:23" x14ac:dyDescent="0.2">
      <c r="A157" s="121" t="s">
        <v>105</v>
      </c>
      <c r="B157" s="112" t="s">
        <v>106</v>
      </c>
      <c r="C157" s="158">
        <f>C158</f>
        <v>15640</v>
      </c>
      <c r="D157" s="158">
        <f>D158</f>
        <v>17140</v>
      </c>
      <c r="E157" s="158">
        <f>E158</f>
        <v>8386.2199999999993</v>
      </c>
      <c r="F157" s="201"/>
    </row>
    <row r="158" spans="1:23" x14ac:dyDescent="0.2">
      <c r="A158" s="137" t="s">
        <v>107</v>
      </c>
      <c r="B158" s="351" t="s">
        <v>108</v>
      </c>
      <c r="C158" s="358">
        <v>15640</v>
      </c>
      <c r="D158" s="358">
        <v>17140</v>
      </c>
      <c r="E158" s="358">
        <v>8386.2199999999993</v>
      </c>
      <c r="F158" s="352"/>
    </row>
    <row r="159" spans="1:23" x14ac:dyDescent="0.2">
      <c r="A159" s="349" t="s">
        <v>197</v>
      </c>
      <c r="B159" s="139" t="s">
        <v>203</v>
      </c>
      <c r="C159" s="357">
        <f>C160+C163</f>
        <v>5940</v>
      </c>
      <c r="D159" s="357">
        <f t="shared" ref="D159:F159" si="23">D160+D163</f>
        <v>12040</v>
      </c>
      <c r="E159" s="357">
        <f t="shared" si="23"/>
        <v>3071.2</v>
      </c>
      <c r="F159" s="350">
        <f>E159/D159*100</f>
        <v>25.50830564784053</v>
      </c>
    </row>
    <row r="160" spans="1:23" x14ac:dyDescent="0.2">
      <c r="A160" s="223" t="s">
        <v>109</v>
      </c>
      <c r="B160" s="123" t="s">
        <v>110</v>
      </c>
      <c r="C160" s="329">
        <f>SUM(C161:C162)</f>
        <v>5940</v>
      </c>
      <c r="D160" s="329">
        <f t="shared" ref="D160:E160" si="24">SUM(D161:D162)</f>
        <v>6540</v>
      </c>
      <c r="E160" s="329">
        <f t="shared" si="24"/>
        <v>3071.2</v>
      </c>
      <c r="F160" s="330"/>
    </row>
    <row r="161" spans="1:23" s="101" customFormat="1" x14ac:dyDescent="0.2">
      <c r="A161" s="119" t="s">
        <v>111</v>
      </c>
      <c r="B161" s="110" t="s">
        <v>112</v>
      </c>
      <c r="C161" s="157">
        <v>180</v>
      </c>
      <c r="D161" s="157">
        <v>180</v>
      </c>
      <c r="E161" s="157">
        <v>150</v>
      </c>
      <c r="F161" s="203"/>
    </row>
    <row r="162" spans="1:23" x14ac:dyDescent="0.2">
      <c r="A162" s="119" t="s">
        <v>113</v>
      </c>
      <c r="B162" s="110" t="s">
        <v>114</v>
      </c>
      <c r="C162" s="157">
        <v>5760</v>
      </c>
      <c r="D162" s="157">
        <v>6360</v>
      </c>
      <c r="E162" s="157">
        <v>2921.2</v>
      </c>
      <c r="F162" s="203"/>
    </row>
    <row r="163" spans="1:23" s="101" customFormat="1" x14ac:dyDescent="0.2">
      <c r="A163" s="121" t="s">
        <v>129</v>
      </c>
      <c r="B163" s="112" t="s">
        <v>130</v>
      </c>
      <c r="C163" s="158">
        <f>C164</f>
        <v>0</v>
      </c>
      <c r="D163" s="158">
        <f>D164</f>
        <v>5500</v>
      </c>
      <c r="E163" s="158">
        <f>E164</f>
        <v>0</v>
      </c>
      <c r="F163" s="201"/>
    </row>
    <row r="164" spans="1:23" s="101" customFormat="1" x14ac:dyDescent="0.2">
      <c r="A164" s="119" t="s">
        <v>133</v>
      </c>
      <c r="B164" s="110" t="s">
        <v>134</v>
      </c>
      <c r="C164" s="157">
        <v>0</v>
      </c>
      <c r="D164" s="157">
        <v>5500</v>
      </c>
      <c r="E164" s="157">
        <v>0</v>
      </c>
      <c r="F164" s="203"/>
    </row>
    <row r="165" spans="1:23" s="101" customFormat="1" x14ac:dyDescent="0.2">
      <c r="A165" s="353">
        <v>37</v>
      </c>
      <c r="B165" s="139" t="s">
        <v>292</v>
      </c>
      <c r="C165" s="318">
        <f>C166</f>
        <v>35500</v>
      </c>
      <c r="D165" s="318">
        <f t="shared" ref="C165:E166" si="25">D166</f>
        <v>35500</v>
      </c>
      <c r="E165" s="318">
        <f t="shared" si="25"/>
        <v>0</v>
      </c>
      <c r="F165" s="78">
        <f t="shared" si="21"/>
        <v>0</v>
      </c>
      <c r="G165" s="234"/>
    </row>
    <row r="166" spans="1:23" s="101" customFormat="1" x14ac:dyDescent="0.2">
      <c r="A166" s="128">
        <v>372</v>
      </c>
      <c r="B166" s="123" t="s">
        <v>293</v>
      </c>
      <c r="C166" s="315">
        <f t="shared" si="25"/>
        <v>35500</v>
      </c>
      <c r="D166" s="315">
        <f t="shared" si="25"/>
        <v>35500</v>
      </c>
      <c r="E166" s="315">
        <f t="shared" si="25"/>
        <v>0</v>
      </c>
      <c r="F166" s="70"/>
      <c r="G166" s="234"/>
    </row>
    <row r="167" spans="1:23" s="101" customFormat="1" ht="13.5" thickBot="1" x14ac:dyDescent="0.25">
      <c r="A167" s="232">
        <v>3722</v>
      </c>
      <c r="B167" s="233" t="s">
        <v>294</v>
      </c>
      <c r="C167" s="324">
        <v>35500</v>
      </c>
      <c r="D167" s="324">
        <v>35500</v>
      </c>
      <c r="E167" s="324">
        <v>0</v>
      </c>
      <c r="F167" s="90"/>
      <c r="G167" s="235"/>
    </row>
    <row r="168" spans="1:23" s="101" customFormat="1" ht="13.5" thickTop="1" x14ac:dyDescent="0.2">
      <c r="A168" s="178"/>
      <c r="B168" s="179"/>
      <c r="C168" s="311"/>
      <c r="D168" s="328"/>
      <c r="E168" s="311"/>
      <c r="F168" s="205"/>
    </row>
    <row r="169" spans="1:23" s="101" customFormat="1" x14ac:dyDescent="0.2">
      <c r="A169" s="108" t="s">
        <v>329</v>
      </c>
      <c r="B169" s="100"/>
      <c r="C169" s="306"/>
      <c r="D169" s="306"/>
      <c r="E169" s="306"/>
      <c r="F169" s="182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</row>
    <row r="170" spans="1:23" s="101" customFormat="1" ht="13.5" thickBot="1" x14ac:dyDescent="0.25">
      <c r="A170" s="416"/>
      <c r="B170" s="416"/>
      <c r="C170" s="416"/>
      <c r="D170" s="416"/>
      <c r="E170" s="416"/>
      <c r="F170" s="416"/>
    </row>
    <row r="171" spans="1:23" s="101" customFormat="1" ht="39.75" thickTop="1" thickBot="1" x14ac:dyDescent="0.25">
      <c r="A171" s="114" t="s">
        <v>284</v>
      </c>
      <c r="B171" s="115" t="s">
        <v>244</v>
      </c>
      <c r="C171" s="115" t="s">
        <v>324</v>
      </c>
      <c r="D171" s="115" t="s">
        <v>325</v>
      </c>
      <c r="E171" s="115" t="s">
        <v>326</v>
      </c>
      <c r="F171" s="183" t="s">
        <v>245</v>
      </c>
    </row>
    <row r="172" spans="1:23" s="101" customFormat="1" ht="14.25" thickTop="1" thickBot="1" x14ac:dyDescent="0.25">
      <c r="A172" s="540">
        <v>1</v>
      </c>
      <c r="B172" s="541"/>
      <c r="C172" s="115">
        <v>2</v>
      </c>
      <c r="D172" s="115">
        <v>3</v>
      </c>
      <c r="E172" s="115">
        <v>4</v>
      </c>
      <c r="F172" s="183" t="s">
        <v>246</v>
      </c>
    </row>
    <row r="173" spans="1:23" ht="13.5" thickTop="1" x14ac:dyDescent="0.2">
      <c r="A173" s="347" t="s">
        <v>6</v>
      </c>
      <c r="B173" s="132" t="s">
        <v>195</v>
      </c>
      <c r="C173" s="356">
        <f>C174+C177+C187</f>
        <v>18000</v>
      </c>
      <c r="D173" s="356">
        <f>D174+D177+D187</f>
        <v>18000</v>
      </c>
      <c r="E173" s="356">
        <f>E174+E177+E187</f>
        <v>1392.03</v>
      </c>
      <c r="F173" s="348">
        <f t="shared" ref="F173:F187" si="26">E173/D173*100</f>
        <v>7.7335000000000003</v>
      </c>
    </row>
    <row r="174" spans="1:23" s="101" customFormat="1" x14ac:dyDescent="0.2">
      <c r="A174" s="349" t="s">
        <v>196</v>
      </c>
      <c r="B174" s="139" t="s">
        <v>202</v>
      </c>
      <c r="C174" s="357">
        <f t="shared" ref="C174:E175" si="27">C175</f>
        <v>500</v>
      </c>
      <c r="D174" s="357">
        <f t="shared" si="27"/>
        <v>500</v>
      </c>
      <c r="E174" s="357">
        <f t="shared" si="27"/>
        <v>260</v>
      </c>
      <c r="F174" s="350">
        <f t="shared" si="26"/>
        <v>52</v>
      </c>
    </row>
    <row r="175" spans="1:23" s="101" customFormat="1" x14ac:dyDescent="0.2">
      <c r="A175" s="223" t="s">
        <v>102</v>
      </c>
      <c r="B175" s="123" t="s">
        <v>103</v>
      </c>
      <c r="C175" s="329">
        <f t="shared" si="27"/>
        <v>500</v>
      </c>
      <c r="D175" s="329">
        <f t="shared" si="27"/>
        <v>500</v>
      </c>
      <c r="E175" s="329">
        <f t="shared" si="27"/>
        <v>260</v>
      </c>
      <c r="F175" s="330"/>
    </row>
    <row r="176" spans="1:23" s="101" customFormat="1" x14ac:dyDescent="0.2">
      <c r="A176" s="137" t="s">
        <v>104</v>
      </c>
      <c r="B176" s="351" t="s">
        <v>103</v>
      </c>
      <c r="C176" s="358">
        <v>500</v>
      </c>
      <c r="D176" s="358">
        <v>500</v>
      </c>
      <c r="E176" s="358">
        <v>260</v>
      </c>
      <c r="F176" s="352"/>
    </row>
    <row r="177" spans="1:6" x14ac:dyDescent="0.2">
      <c r="A177" s="349" t="s">
        <v>197</v>
      </c>
      <c r="B177" s="139" t="s">
        <v>203</v>
      </c>
      <c r="C177" s="357">
        <f>C178+C182+C185</f>
        <v>15890</v>
      </c>
      <c r="D177" s="357">
        <f>D178+D182+D185</f>
        <v>15890</v>
      </c>
      <c r="E177" s="357">
        <f t="shared" ref="E177" si="28">E178+E182+E185</f>
        <v>1132.03</v>
      </c>
      <c r="F177" s="350">
        <f t="shared" si="26"/>
        <v>7.1241661422278151</v>
      </c>
    </row>
    <row r="178" spans="1:6" s="101" customFormat="1" x14ac:dyDescent="0.2">
      <c r="A178" s="223" t="s">
        <v>117</v>
      </c>
      <c r="B178" s="123" t="s">
        <v>118</v>
      </c>
      <c r="C178" s="329">
        <f>SUM(C179:C181)</f>
        <v>13840</v>
      </c>
      <c r="D178" s="329">
        <f>SUM(D179:D181)</f>
        <v>13840</v>
      </c>
      <c r="E178" s="329">
        <f>SUM(E179:E181)</f>
        <v>69.430000000000007</v>
      </c>
      <c r="F178" s="330"/>
    </row>
    <row r="179" spans="1:6" s="101" customFormat="1" x14ac:dyDescent="0.2">
      <c r="A179" s="119" t="s">
        <v>119</v>
      </c>
      <c r="B179" s="110" t="s">
        <v>120</v>
      </c>
      <c r="C179" s="157">
        <v>3500</v>
      </c>
      <c r="D179" s="157">
        <v>3500</v>
      </c>
      <c r="E179" s="157">
        <v>69.430000000000007</v>
      </c>
      <c r="F179" s="203"/>
    </row>
    <row r="180" spans="1:6" s="101" customFormat="1" x14ac:dyDescent="0.2">
      <c r="A180" s="119" t="s">
        <v>121</v>
      </c>
      <c r="B180" s="110" t="s">
        <v>122</v>
      </c>
      <c r="C180" s="157">
        <v>9840</v>
      </c>
      <c r="D180" s="157">
        <v>9840</v>
      </c>
      <c r="E180" s="157">
        <v>0</v>
      </c>
      <c r="F180" s="203"/>
    </row>
    <row r="181" spans="1:6" s="101" customFormat="1" x14ac:dyDescent="0.2">
      <c r="A181" s="119" t="s">
        <v>125</v>
      </c>
      <c r="B181" s="110" t="s">
        <v>126</v>
      </c>
      <c r="C181" s="157">
        <v>500</v>
      </c>
      <c r="D181" s="157">
        <v>500</v>
      </c>
      <c r="E181" s="157">
        <v>0</v>
      </c>
      <c r="F181" s="203"/>
    </row>
    <row r="182" spans="1:6" s="101" customFormat="1" x14ac:dyDescent="0.2">
      <c r="A182" s="121" t="s">
        <v>129</v>
      </c>
      <c r="B182" s="112" t="s">
        <v>130</v>
      </c>
      <c r="C182" s="158">
        <f>C183+C184</f>
        <v>1050</v>
      </c>
      <c r="D182" s="158">
        <f t="shared" ref="D182:E182" si="29">D183+D184</f>
        <v>1050</v>
      </c>
      <c r="E182" s="158">
        <f t="shared" si="29"/>
        <v>0</v>
      </c>
      <c r="F182" s="201"/>
    </row>
    <row r="183" spans="1:6" s="101" customFormat="1" x14ac:dyDescent="0.2">
      <c r="A183" s="119" t="s">
        <v>131</v>
      </c>
      <c r="B183" s="110" t="s">
        <v>132</v>
      </c>
      <c r="C183" s="157">
        <v>1000</v>
      </c>
      <c r="D183" s="157">
        <v>1000</v>
      </c>
      <c r="E183" s="157">
        <v>0</v>
      </c>
      <c r="F183" s="203"/>
    </row>
    <row r="184" spans="1:6" s="101" customFormat="1" x14ac:dyDescent="0.2">
      <c r="A184" s="119" t="s">
        <v>143</v>
      </c>
      <c r="B184" s="110" t="s">
        <v>144</v>
      </c>
      <c r="C184" s="157">
        <v>50</v>
      </c>
      <c r="D184" s="157">
        <v>50</v>
      </c>
      <c r="E184" s="157">
        <v>0</v>
      </c>
      <c r="F184" s="203"/>
    </row>
    <row r="185" spans="1:6" s="101" customFormat="1" x14ac:dyDescent="0.2">
      <c r="A185" s="121" t="s">
        <v>152</v>
      </c>
      <c r="B185" s="112" t="s">
        <v>153</v>
      </c>
      <c r="C185" s="158">
        <f>C186</f>
        <v>1000</v>
      </c>
      <c r="D185" s="158">
        <f t="shared" ref="D185:E185" si="30">D186</f>
        <v>1000</v>
      </c>
      <c r="E185" s="158">
        <f t="shared" si="30"/>
        <v>1062.5999999999999</v>
      </c>
      <c r="F185" s="201"/>
    </row>
    <row r="186" spans="1:6" s="101" customFormat="1" x14ac:dyDescent="0.2">
      <c r="A186" s="137" t="s">
        <v>156</v>
      </c>
      <c r="B186" s="351" t="s">
        <v>157</v>
      </c>
      <c r="C186" s="358">
        <v>1000</v>
      </c>
      <c r="D186" s="358">
        <v>1000</v>
      </c>
      <c r="E186" s="358">
        <v>1062.5999999999999</v>
      </c>
      <c r="F186" s="352"/>
    </row>
    <row r="187" spans="1:6" s="101" customFormat="1" x14ac:dyDescent="0.2">
      <c r="A187" s="349" t="s">
        <v>200</v>
      </c>
      <c r="B187" s="139" t="s">
        <v>206</v>
      </c>
      <c r="C187" s="357">
        <f>C188+C190</f>
        <v>1610</v>
      </c>
      <c r="D187" s="357">
        <f t="shared" ref="D187:E187" si="31">D188+D190</f>
        <v>1610</v>
      </c>
      <c r="E187" s="357">
        <f t="shared" si="31"/>
        <v>0</v>
      </c>
      <c r="F187" s="350">
        <f t="shared" si="26"/>
        <v>0</v>
      </c>
    </row>
    <row r="188" spans="1:6" s="101" customFormat="1" x14ac:dyDescent="0.2">
      <c r="A188" s="223">
        <v>381</v>
      </c>
      <c r="B188" s="123" t="s">
        <v>303</v>
      </c>
      <c r="C188" s="329">
        <f t="shared" ref="C188:E188" si="32">C189</f>
        <v>10</v>
      </c>
      <c r="D188" s="329">
        <f t="shared" si="32"/>
        <v>10</v>
      </c>
      <c r="E188" s="329">
        <f t="shared" si="32"/>
        <v>0</v>
      </c>
      <c r="F188" s="330"/>
    </row>
    <row r="189" spans="1:6" s="101" customFormat="1" x14ac:dyDescent="0.2">
      <c r="A189" s="119">
        <v>3812</v>
      </c>
      <c r="B189" s="110" t="s">
        <v>304</v>
      </c>
      <c r="C189" s="157">
        <v>10</v>
      </c>
      <c r="D189" s="157">
        <v>10</v>
      </c>
      <c r="E189" s="157">
        <v>0</v>
      </c>
      <c r="F189" s="203"/>
    </row>
    <row r="190" spans="1:6" s="101" customFormat="1" x14ac:dyDescent="0.2">
      <c r="A190" s="223" t="s">
        <v>185</v>
      </c>
      <c r="B190" s="123" t="s">
        <v>186</v>
      </c>
      <c r="C190" s="329">
        <f t="shared" ref="C190:E190" si="33">C191</f>
        <v>1600</v>
      </c>
      <c r="D190" s="329">
        <f t="shared" si="33"/>
        <v>1600</v>
      </c>
      <c r="E190" s="329">
        <f t="shared" si="33"/>
        <v>0</v>
      </c>
      <c r="F190" s="330"/>
    </row>
    <row r="191" spans="1:6" s="101" customFormat="1" ht="13.5" thickBot="1" x14ac:dyDescent="0.25">
      <c r="A191" s="122" t="s">
        <v>187</v>
      </c>
      <c r="B191" s="113" t="s">
        <v>188</v>
      </c>
      <c r="C191" s="368">
        <v>1600</v>
      </c>
      <c r="D191" s="368">
        <v>1600</v>
      </c>
      <c r="E191" s="368">
        <v>0</v>
      </c>
      <c r="F191" s="204"/>
    </row>
    <row r="192" spans="1:6" s="101" customFormat="1" ht="13.5" thickTop="1" x14ac:dyDescent="0.2">
      <c r="A192" s="178"/>
      <c r="B192" s="179"/>
      <c r="C192" s="328"/>
      <c r="D192" s="328"/>
      <c r="E192" s="328"/>
      <c r="F192" s="205"/>
    </row>
    <row r="193" spans="1:23" s="101" customFormat="1" x14ac:dyDescent="0.2">
      <c r="A193" s="108" t="s">
        <v>330</v>
      </c>
      <c r="B193" s="100"/>
      <c r="C193" s="306"/>
      <c r="D193" s="306"/>
      <c r="E193" s="306"/>
      <c r="F193" s="182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</row>
    <row r="194" spans="1:23" s="101" customFormat="1" ht="13.5" thickBot="1" x14ac:dyDescent="0.25">
      <c r="A194" s="416"/>
      <c r="B194" s="416"/>
      <c r="C194" s="416"/>
      <c r="D194" s="416"/>
      <c r="E194" s="416"/>
      <c r="F194" s="416"/>
    </row>
    <row r="195" spans="1:23" s="101" customFormat="1" ht="39.75" thickTop="1" thickBot="1" x14ac:dyDescent="0.25">
      <c r="A195" s="114" t="s">
        <v>284</v>
      </c>
      <c r="B195" s="115" t="s">
        <v>244</v>
      </c>
      <c r="C195" s="115" t="s">
        <v>324</v>
      </c>
      <c r="D195" s="115" t="s">
        <v>325</v>
      </c>
      <c r="E195" s="115" t="s">
        <v>326</v>
      </c>
      <c r="F195" s="183" t="s">
        <v>245</v>
      </c>
    </row>
    <row r="196" spans="1:23" s="101" customFormat="1" ht="14.25" thickTop="1" thickBot="1" x14ac:dyDescent="0.25">
      <c r="A196" s="540">
        <v>1</v>
      </c>
      <c r="B196" s="541"/>
      <c r="C196" s="115">
        <v>2</v>
      </c>
      <c r="D196" s="115">
        <v>3</v>
      </c>
      <c r="E196" s="115">
        <v>4</v>
      </c>
      <c r="F196" s="183" t="s">
        <v>246</v>
      </c>
    </row>
    <row r="197" spans="1:23" ht="13.5" thickTop="1" x14ac:dyDescent="0.2">
      <c r="A197" s="347" t="s">
        <v>6</v>
      </c>
      <c r="B197" s="132" t="s">
        <v>195</v>
      </c>
      <c r="C197" s="356">
        <f>C198+C203+C211</f>
        <v>57830</v>
      </c>
      <c r="D197" s="356">
        <f>D198+D203+D211</f>
        <v>57830</v>
      </c>
      <c r="E197" s="356">
        <f>E198+E203+E211</f>
        <v>15996.06</v>
      </c>
      <c r="F197" s="348">
        <f t="shared" ref="F197:F203" si="34">E197/D197*100</f>
        <v>27.660487636174995</v>
      </c>
    </row>
    <row r="198" spans="1:23" s="101" customFormat="1" x14ac:dyDescent="0.2">
      <c r="A198" s="349" t="s">
        <v>196</v>
      </c>
      <c r="B198" s="139" t="s">
        <v>202</v>
      </c>
      <c r="C198" s="357">
        <f>C199+C201</f>
        <v>23500</v>
      </c>
      <c r="D198" s="357">
        <f>D199+D201</f>
        <v>23500</v>
      </c>
      <c r="E198" s="357">
        <f>E199+E201</f>
        <v>0.17</v>
      </c>
      <c r="F198" s="350">
        <f t="shared" si="34"/>
        <v>7.2340425531914894E-4</v>
      </c>
    </row>
    <row r="199" spans="1:23" s="101" customFormat="1" x14ac:dyDescent="0.2">
      <c r="A199" s="223" t="s">
        <v>96</v>
      </c>
      <c r="B199" s="123" t="s">
        <v>97</v>
      </c>
      <c r="C199" s="329">
        <f>SUM(C200:C200)</f>
        <v>20200</v>
      </c>
      <c r="D199" s="329">
        <f>SUM(D200:D200)</f>
        <v>20200</v>
      </c>
      <c r="E199" s="329">
        <f>SUM(E200:E200)</f>
        <v>0.17</v>
      </c>
      <c r="F199" s="330"/>
    </row>
    <row r="200" spans="1:23" s="101" customFormat="1" x14ac:dyDescent="0.2">
      <c r="A200" s="119" t="s">
        <v>98</v>
      </c>
      <c r="B200" s="110" t="s">
        <v>99</v>
      </c>
      <c r="C200" s="157">
        <v>20200</v>
      </c>
      <c r="D200" s="157">
        <v>20200</v>
      </c>
      <c r="E200" s="157">
        <v>0.17</v>
      </c>
      <c r="F200" s="203"/>
    </row>
    <row r="201" spans="1:23" s="101" customFormat="1" x14ac:dyDescent="0.2">
      <c r="A201" s="121" t="s">
        <v>105</v>
      </c>
      <c r="B201" s="112" t="s">
        <v>106</v>
      </c>
      <c r="C201" s="158">
        <f>C202</f>
        <v>3300</v>
      </c>
      <c r="D201" s="158">
        <f>D202</f>
        <v>3300</v>
      </c>
      <c r="E201" s="158">
        <f>E202</f>
        <v>0</v>
      </c>
      <c r="F201" s="201"/>
    </row>
    <row r="202" spans="1:23" s="101" customFormat="1" x14ac:dyDescent="0.2">
      <c r="A202" s="137" t="s">
        <v>107</v>
      </c>
      <c r="B202" s="351" t="s">
        <v>108</v>
      </c>
      <c r="C202" s="358">
        <v>3300</v>
      </c>
      <c r="D202" s="358">
        <v>3300</v>
      </c>
      <c r="E202" s="358">
        <v>0</v>
      </c>
      <c r="F202" s="352"/>
    </row>
    <row r="203" spans="1:23" x14ac:dyDescent="0.2">
      <c r="A203" s="349" t="s">
        <v>197</v>
      </c>
      <c r="B203" s="139" t="s">
        <v>203</v>
      </c>
      <c r="C203" s="357">
        <f>C204+C207+C209</f>
        <v>34330</v>
      </c>
      <c r="D203" s="357">
        <f>D204+D207+D209</f>
        <v>34320</v>
      </c>
      <c r="E203" s="357">
        <f>E204+E207+E209</f>
        <v>15994.25</v>
      </c>
      <c r="F203" s="350">
        <f t="shared" si="34"/>
        <v>46.603292540792538</v>
      </c>
    </row>
    <row r="204" spans="1:23" x14ac:dyDescent="0.2">
      <c r="A204" s="223" t="s">
        <v>117</v>
      </c>
      <c r="B204" s="123" t="s">
        <v>118</v>
      </c>
      <c r="C204" s="329">
        <f>SUM(C205:C206)</f>
        <v>33500</v>
      </c>
      <c r="D204" s="329">
        <f>SUM(D205:D206)</f>
        <v>33490</v>
      </c>
      <c r="E204" s="329">
        <f>SUM(E205:E206)</f>
        <v>15994.25</v>
      </c>
      <c r="F204" s="330"/>
    </row>
    <row r="205" spans="1:23" x14ac:dyDescent="0.2">
      <c r="A205" s="119" t="s">
        <v>119</v>
      </c>
      <c r="B205" s="110" t="s">
        <v>120</v>
      </c>
      <c r="C205" s="157">
        <v>3000</v>
      </c>
      <c r="D205" s="157">
        <v>2990</v>
      </c>
      <c r="E205" s="157">
        <v>2049.08</v>
      </c>
      <c r="F205" s="203"/>
    </row>
    <row r="206" spans="1:23" x14ac:dyDescent="0.2">
      <c r="A206" s="119" t="s">
        <v>179</v>
      </c>
      <c r="B206" s="110" t="s">
        <v>180</v>
      </c>
      <c r="C206" s="157">
        <v>30500</v>
      </c>
      <c r="D206" s="157">
        <v>30500</v>
      </c>
      <c r="E206" s="157">
        <v>13945.17</v>
      </c>
      <c r="F206" s="203"/>
    </row>
    <row r="207" spans="1:23" s="101" customFormat="1" x14ac:dyDescent="0.2">
      <c r="A207" s="121" t="s">
        <v>129</v>
      </c>
      <c r="B207" s="112" t="s">
        <v>130</v>
      </c>
      <c r="C207" s="158">
        <f>C208</f>
        <v>630</v>
      </c>
      <c r="D207" s="158">
        <f>D208</f>
        <v>630</v>
      </c>
      <c r="E207" s="158">
        <f>E208</f>
        <v>0</v>
      </c>
      <c r="F207" s="201"/>
    </row>
    <row r="208" spans="1:23" s="101" customFormat="1" x14ac:dyDescent="0.2">
      <c r="A208" s="119" t="s">
        <v>133</v>
      </c>
      <c r="B208" s="110" t="s">
        <v>134</v>
      </c>
      <c r="C208" s="157">
        <v>630</v>
      </c>
      <c r="D208" s="157">
        <v>630</v>
      </c>
      <c r="E208" s="157">
        <v>0</v>
      </c>
      <c r="F208" s="203"/>
    </row>
    <row r="209" spans="1:23" x14ac:dyDescent="0.2">
      <c r="A209" s="121" t="s">
        <v>149</v>
      </c>
      <c r="B209" s="112" t="s">
        <v>150</v>
      </c>
      <c r="C209" s="158">
        <f>C210</f>
        <v>200</v>
      </c>
      <c r="D209" s="158">
        <f t="shared" ref="D209:E209" si="35">D210</f>
        <v>200</v>
      </c>
      <c r="E209" s="158">
        <f t="shared" si="35"/>
        <v>0</v>
      </c>
      <c r="F209" s="201"/>
    </row>
    <row r="210" spans="1:23" x14ac:dyDescent="0.2">
      <c r="A210" s="229" t="s">
        <v>151</v>
      </c>
      <c r="B210" s="394" t="s">
        <v>150</v>
      </c>
      <c r="C210" s="395">
        <v>200</v>
      </c>
      <c r="D210" s="395">
        <v>200</v>
      </c>
      <c r="E210" s="395">
        <v>0</v>
      </c>
      <c r="F210" s="396"/>
    </row>
    <row r="211" spans="1:23" s="101" customFormat="1" x14ac:dyDescent="0.2">
      <c r="A211" s="227" t="s">
        <v>198</v>
      </c>
      <c r="B211" s="391" t="s">
        <v>204</v>
      </c>
      <c r="C211" s="392">
        <f t="shared" ref="C211:E212" si="36">C212</f>
        <v>0</v>
      </c>
      <c r="D211" s="392">
        <f t="shared" si="36"/>
        <v>10</v>
      </c>
      <c r="E211" s="392">
        <f t="shared" si="36"/>
        <v>1.64</v>
      </c>
      <c r="F211" s="393">
        <f t="shared" ref="F211" si="37">E211/D211*100</f>
        <v>16.399999999999999</v>
      </c>
    </row>
    <row r="212" spans="1:23" s="101" customFormat="1" x14ac:dyDescent="0.2">
      <c r="A212" s="223" t="s">
        <v>163</v>
      </c>
      <c r="B212" s="123" t="s">
        <v>164</v>
      </c>
      <c r="C212" s="329">
        <f t="shared" si="36"/>
        <v>0</v>
      </c>
      <c r="D212" s="329">
        <f t="shared" si="36"/>
        <v>10</v>
      </c>
      <c r="E212" s="329">
        <f t="shared" si="36"/>
        <v>1.64</v>
      </c>
      <c r="F212" s="330"/>
    </row>
    <row r="213" spans="1:23" s="101" customFormat="1" ht="13.5" thickBot="1" x14ac:dyDescent="0.25">
      <c r="A213" s="122">
        <v>3433</v>
      </c>
      <c r="B213" s="397" t="s">
        <v>359</v>
      </c>
      <c r="C213" s="368">
        <v>0</v>
      </c>
      <c r="D213" s="368">
        <v>10</v>
      </c>
      <c r="E213" s="368">
        <v>1.64</v>
      </c>
      <c r="F213" s="204"/>
    </row>
    <row r="214" spans="1:23" s="101" customFormat="1" ht="14.25" thickTop="1" thickBot="1" x14ac:dyDescent="0.25">
      <c r="A214" s="382"/>
      <c r="B214" s="398"/>
      <c r="C214" s="384"/>
      <c r="D214" s="384"/>
      <c r="E214" s="384"/>
      <c r="F214" s="385"/>
    </row>
    <row r="215" spans="1:23" s="101" customFormat="1" ht="13.5" thickTop="1" x14ac:dyDescent="0.2">
      <c r="A215" s="178"/>
      <c r="B215" s="179"/>
      <c r="C215" s="311"/>
      <c r="D215" s="311"/>
      <c r="E215" s="311"/>
      <c r="F215" s="205"/>
    </row>
    <row r="216" spans="1:23" s="101" customFormat="1" x14ac:dyDescent="0.2">
      <c r="A216" s="108" t="s">
        <v>365</v>
      </c>
      <c r="B216" s="100"/>
      <c r="C216" s="306"/>
      <c r="D216" s="306"/>
      <c r="E216" s="306"/>
      <c r="F216" s="182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</row>
    <row r="217" spans="1:23" s="101" customFormat="1" ht="13.5" thickBot="1" x14ac:dyDescent="0.25">
      <c r="A217" s="416"/>
      <c r="B217" s="416"/>
      <c r="C217" s="416"/>
      <c r="D217" s="416"/>
      <c r="E217" s="416"/>
      <c r="F217" s="416"/>
    </row>
    <row r="218" spans="1:23" s="101" customFormat="1" ht="39.75" thickTop="1" thickBot="1" x14ac:dyDescent="0.25">
      <c r="A218" s="114" t="s">
        <v>284</v>
      </c>
      <c r="B218" s="115" t="s">
        <v>244</v>
      </c>
      <c r="C218" s="115" t="s">
        <v>324</v>
      </c>
      <c r="D218" s="115" t="s">
        <v>325</v>
      </c>
      <c r="E218" s="115" t="s">
        <v>326</v>
      </c>
      <c r="F218" s="183" t="s">
        <v>245</v>
      </c>
    </row>
    <row r="219" spans="1:23" s="101" customFormat="1" ht="14.25" thickTop="1" thickBot="1" x14ac:dyDescent="0.25">
      <c r="A219" s="540">
        <v>1</v>
      </c>
      <c r="B219" s="541"/>
      <c r="C219" s="115">
        <v>2</v>
      </c>
      <c r="D219" s="115">
        <v>3</v>
      </c>
      <c r="E219" s="115">
        <v>4</v>
      </c>
      <c r="F219" s="183" t="s">
        <v>246</v>
      </c>
    </row>
    <row r="220" spans="1:23" s="101" customFormat="1" ht="13.5" thickTop="1" x14ac:dyDescent="0.2">
      <c r="A220" s="347" t="s">
        <v>6</v>
      </c>
      <c r="B220" s="132" t="s">
        <v>195</v>
      </c>
      <c r="C220" s="356">
        <f>C221</f>
        <v>0</v>
      </c>
      <c r="D220" s="356">
        <f t="shared" ref="D220:E220" si="38">D221</f>
        <v>2526</v>
      </c>
      <c r="E220" s="356">
        <f t="shared" si="38"/>
        <v>0</v>
      </c>
      <c r="F220" s="348">
        <f t="shared" ref="F220:F221" si="39">E220/D220*100</f>
        <v>0</v>
      </c>
      <c r="G220" s="40"/>
    </row>
    <row r="221" spans="1:23" s="101" customFormat="1" x14ac:dyDescent="0.2">
      <c r="A221" s="349" t="s">
        <v>197</v>
      </c>
      <c r="B221" s="139" t="s">
        <v>203</v>
      </c>
      <c r="C221" s="357">
        <f>C222+C225</f>
        <v>0</v>
      </c>
      <c r="D221" s="357">
        <f t="shared" ref="D221:E221" si="40">D222+D225</f>
        <v>2526</v>
      </c>
      <c r="E221" s="357">
        <f t="shared" si="40"/>
        <v>0</v>
      </c>
      <c r="F221" s="350">
        <f t="shared" si="39"/>
        <v>0</v>
      </c>
      <c r="G221" s="40"/>
    </row>
    <row r="222" spans="1:23" s="101" customFormat="1" x14ac:dyDescent="0.2">
      <c r="A222" s="223" t="s">
        <v>117</v>
      </c>
      <c r="B222" s="123" t="s">
        <v>118</v>
      </c>
      <c r="C222" s="329">
        <f>SUM(C223:C224)</f>
        <v>0</v>
      </c>
      <c r="D222" s="329">
        <f t="shared" ref="D222:E222" si="41">SUM(D223:D224)</f>
        <v>1305</v>
      </c>
      <c r="E222" s="329">
        <f t="shared" si="41"/>
        <v>0</v>
      </c>
      <c r="F222" s="330"/>
      <c r="G222" s="40"/>
    </row>
    <row r="223" spans="1:23" s="101" customFormat="1" x14ac:dyDescent="0.2">
      <c r="A223" s="118">
        <v>3224</v>
      </c>
      <c r="B223" s="124" t="s">
        <v>124</v>
      </c>
      <c r="C223" s="157">
        <v>0</v>
      </c>
      <c r="D223" s="157">
        <v>305</v>
      </c>
      <c r="E223" s="157">
        <v>0</v>
      </c>
      <c r="F223" s="202"/>
      <c r="G223" s="40"/>
    </row>
    <row r="224" spans="1:23" s="101" customFormat="1" x14ac:dyDescent="0.2">
      <c r="A224" s="118">
        <v>3225</v>
      </c>
      <c r="B224" s="124" t="s">
        <v>313</v>
      </c>
      <c r="C224" s="157">
        <v>0</v>
      </c>
      <c r="D224" s="157">
        <v>1000</v>
      </c>
      <c r="E224" s="157">
        <v>0</v>
      </c>
      <c r="F224" s="202"/>
      <c r="G224" s="40"/>
    </row>
    <row r="225" spans="1:23" s="101" customFormat="1" x14ac:dyDescent="0.2">
      <c r="A225" s="121" t="s">
        <v>129</v>
      </c>
      <c r="B225" s="112" t="s">
        <v>130</v>
      </c>
      <c r="C225" s="158">
        <f>SUM(C226:C226)</f>
        <v>0</v>
      </c>
      <c r="D225" s="158">
        <f>SUM(D226:D226)</f>
        <v>1221</v>
      </c>
      <c r="E225" s="158">
        <f>SUM(E226:E226)</f>
        <v>0</v>
      </c>
      <c r="F225" s="201"/>
      <c r="G225" s="40"/>
    </row>
    <row r="226" spans="1:23" s="101" customFormat="1" ht="13.5" thickBot="1" x14ac:dyDescent="0.25">
      <c r="A226" s="232">
        <v>3232</v>
      </c>
      <c r="B226" s="397" t="s">
        <v>314</v>
      </c>
      <c r="C226" s="368">
        <v>0</v>
      </c>
      <c r="D226" s="368">
        <v>1221</v>
      </c>
      <c r="E226" s="368">
        <v>0</v>
      </c>
      <c r="F226" s="399"/>
      <c r="G226" s="40"/>
    </row>
    <row r="227" spans="1:23" s="390" customFormat="1" ht="14.25" thickTop="1" thickBot="1" x14ac:dyDescent="0.25">
      <c r="A227" s="540"/>
      <c r="B227" s="541"/>
      <c r="C227" s="115"/>
      <c r="D227" s="115"/>
      <c r="E227" s="115"/>
      <c r="F227" s="183"/>
      <c r="G227" s="40"/>
    </row>
    <row r="228" spans="1:23" s="390" customFormat="1" ht="13.5" thickTop="1" x14ac:dyDescent="0.2">
      <c r="A228" s="347" t="s">
        <v>7</v>
      </c>
      <c r="B228" s="132" t="s">
        <v>207</v>
      </c>
      <c r="C228" s="356">
        <f t="shared" ref="C228:E229" si="42">C229</f>
        <v>0</v>
      </c>
      <c r="D228" s="356">
        <f t="shared" si="42"/>
        <v>3225</v>
      </c>
      <c r="E228" s="356">
        <f t="shared" si="42"/>
        <v>0</v>
      </c>
      <c r="F228" s="348">
        <f>E228/D228*100</f>
        <v>0</v>
      </c>
      <c r="G228" s="40"/>
    </row>
    <row r="229" spans="1:23" s="390" customFormat="1" x14ac:dyDescent="0.2">
      <c r="A229" s="349" t="s">
        <v>201</v>
      </c>
      <c r="B229" s="139" t="s">
        <v>208</v>
      </c>
      <c r="C229" s="357">
        <f t="shared" si="42"/>
        <v>0</v>
      </c>
      <c r="D229" s="357">
        <f t="shared" si="42"/>
        <v>3225</v>
      </c>
      <c r="E229" s="357">
        <f t="shared" si="42"/>
        <v>0</v>
      </c>
      <c r="F229" s="350">
        <f>E229/D229*100</f>
        <v>0</v>
      </c>
      <c r="G229" s="40"/>
    </row>
    <row r="230" spans="1:23" s="390" customFormat="1" x14ac:dyDescent="0.2">
      <c r="A230" s="223" t="s">
        <v>169</v>
      </c>
      <c r="B230" s="123" t="s">
        <v>170</v>
      </c>
      <c r="C230" s="329">
        <f>SUM(C231:C231)</f>
        <v>0</v>
      </c>
      <c r="D230" s="329">
        <f>SUM(D231:D231)</f>
        <v>3225</v>
      </c>
      <c r="E230" s="329">
        <f>SUM(E231:E231)</f>
        <v>0</v>
      </c>
      <c r="F230" s="330"/>
      <c r="G230" s="40"/>
    </row>
    <row r="231" spans="1:23" s="390" customFormat="1" ht="13.5" thickBot="1" x14ac:dyDescent="0.25">
      <c r="A231" s="232" t="s">
        <v>171</v>
      </c>
      <c r="B231" s="397" t="s">
        <v>172</v>
      </c>
      <c r="C231" s="368">
        <v>0</v>
      </c>
      <c r="D231" s="368">
        <v>3225</v>
      </c>
      <c r="E231" s="368">
        <v>0</v>
      </c>
      <c r="F231" s="399"/>
      <c r="G231" s="40"/>
    </row>
    <row r="232" spans="1:23" s="101" customFormat="1" ht="13.5" thickTop="1" x14ac:dyDescent="0.2">
      <c r="A232" s="140"/>
      <c r="B232" s="408"/>
      <c r="C232" s="328"/>
      <c r="D232" s="328"/>
      <c r="E232" s="328"/>
      <c r="F232" s="409"/>
      <c r="G232" s="40"/>
    </row>
    <row r="233" spans="1:23" s="101" customFormat="1" x14ac:dyDescent="0.2">
      <c r="A233" s="108" t="s">
        <v>332</v>
      </c>
      <c r="B233" s="100"/>
      <c r="C233" s="306"/>
      <c r="D233" s="306"/>
      <c r="E233" s="306"/>
      <c r="F233" s="182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</row>
    <row r="234" spans="1:23" s="101" customFormat="1" ht="13.5" thickBot="1" x14ac:dyDescent="0.25">
      <c r="A234" s="416"/>
      <c r="B234" s="416"/>
      <c r="C234" s="416"/>
      <c r="D234" s="416"/>
      <c r="E234" s="416"/>
      <c r="F234" s="416"/>
    </row>
    <row r="235" spans="1:23" s="101" customFormat="1" ht="39.75" thickTop="1" thickBot="1" x14ac:dyDescent="0.25">
      <c r="A235" s="114" t="s">
        <v>284</v>
      </c>
      <c r="B235" s="115" t="s">
        <v>244</v>
      </c>
      <c r="C235" s="115" t="s">
        <v>324</v>
      </c>
      <c r="D235" s="115" t="s">
        <v>325</v>
      </c>
      <c r="E235" s="115" t="s">
        <v>326</v>
      </c>
      <c r="F235" s="183" t="s">
        <v>245</v>
      </c>
    </row>
    <row r="236" spans="1:23" s="101" customFormat="1" ht="14.25" thickTop="1" thickBot="1" x14ac:dyDescent="0.25">
      <c r="A236" s="540">
        <v>1</v>
      </c>
      <c r="B236" s="541"/>
      <c r="C236" s="115">
        <v>2</v>
      </c>
      <c r="D236" s="115">
        <v>3</v>
      </c>
      <c r="E236" s="115">
        <v>4</v>
      </c>
      <c r="F236" s="183" t="s">
        <v>246</v>
      </c>
    </row>
    <row r="237" spans="1:23" ht="13.5" thickTop="1" x14ac:dyDescent="0.2">
      <c r="A237" s="347" t="s">
        <v>6</v>
      </c>
      <c r="B237" s="132" t="s">
        <v>195</v>
      </c>
      <c r="C237" s="356">
        <f>C238+C251</f>
        <v>8090</v>
      </c>
      <c r="D237" s="356">
        <f t="shared" ref="D237:F237" si="43">D238+D251</f>
        <v>8090</v>
      </c>
      <c r="E237" s="356">
        <f t="shared" si="43"/>
        <v>4545.88</v>
      </c>
      <c r="F237" s="348">
        <f>E237/D237*100</f>
        <v>56.191347342398025</v>
      </c>
    </row>
    <row r="238" spans="1:23" x14ac:dyDescent="0.2">
      <c r="A238" s="349" t="s">
        <v>197</v>
      </c>
      <c r="B238" s="139" t="s">
        <v>203</v>
      </c>
      <c r="C238" s="357">
        <f>C239+C242+C245+C248</f>
        <v>6990</v>
      </c>
      <c r="D238" s="357">
        <f>D239+D242+D245+D248</f>
        <v>6990</v>
      </c>
      <c r="E238" s="357">
        <f>E239+E242+E245+E248</f>
        <v>3547.74</v>
      </c>
      <c r="F238" s="350">
        <f t="shared" ref="F238:F251" si="44">E238/D238*100</f>
        <v>50.754506437768235</v>
      </c>
    </row>
    <row r="239" spans="1:23" x14ac:dyDescent="0.2">
      <c r="A239" s="223" t="s">
        <v>109</v>
      </c>
      <c r="B239" s="123" t="s">
        <v>110</v>
      </c>
      <c r="C239" s="329">
        <f>SUM(C240:C241)</f>
        <v>310</v>
      </c>
      <c r="D239" s="329">
        <f>SUM(D240:D241)</f>
        <v>310</v>
      </c>
      <c r="E239" s="329">
        <f>SUM(E240:E241)</f>
        <v>0</v>
      </c>
      <c r="F239" s="330"/>
    </row>
    <row r="240" spans="1:23" x14ac:dyDescent="0.2">
      <c r="A240" s="119" t="s">
        <v>111</v>
      </c>
      <c r="B240" s="110" t="s">
        <v>112</v>
      </c>
      <c r="C240" s="157">
        <v>260</v>
      </c>
      <c r="D240" s="157">
        <v>260</v>
      </c>
      <c r="E240" s="157">
        <v>0</v>
      </c>
      <c r="F240" s="203"/>
    </row>
    <row r="241" spans="1:23" x14ac:dyDescent="0.2">
      <c r="A241" s="119" t="s">
        <v>115</v>
      </c>
      <c r="B241" s="110" t="s">
        <v>116</v>
      </c>
      <c r="C241" s="157">
        <v>50</v>
      </c>
      <c r="D241" s="157">
        <v>50</v>
      </c>
      <c r="E241" s="157">
        <v>0</v>
      </c>
      <c r="F241" s="203"/>
    </row>
    <row r="242" spans="1:23" x14ac:dyDescent="0.2">
      <c r="A242" s="121" t="s">
        <v>117</v>
      </c>
      <c r="B242" s="112" t="s">
        <v>118</v>
      </c>
      <c r="C242" s="158">
        <f>SUM(C243:C244)</f>
        <v>6450</v>
      </c>
      <c r="D242" s="158">
        <f>SUM(D243:D244)</f>
        <v>6450</v>
      </c>
      <c r="E242" s="158">
        <f>SUM(E243:E244)</f>
        <v>3547.74</v>
      </c>
      <c r="F242" s="201"/>
    </row>
    <row r="243" spans="1:23" x14ac:dyDescent="0.2">
      <c r="A243" s="119" t="s">
        <v>119</v>
      </c>
      <c r="B243" s="110" t="s">
        <v>120</v>
      </c>
      <c r="C243" s="157">
        <v>450</v>
      </c>
      <c r="D243" s="157">
        <v>450</v>
      </c>
      <c r="E243" s="157">
        <v>63.45</v>
      </c>
      <c r="F243" s="203"/>
    </row>
    <row r="244" spans="1:23" x14ac:dyDescent="0.2">
      <c r="A244" s="119" t="s">
        <v>179</v>
      </c>
      <c r="B244" s="110" t="s">
        <v>180</v>
      </c>
      <c r="C244" s="157">
        <v>6000</v>
      </c>
      <c r="D244" s="157">
        <v>6000</v>
      </c>
      <c r="E244" s="157">
        <v>3484.29</v>
      </c>
      <c r="F244" s="203"/>
    </row>
    <row r="245" spans="1:23" x14ac:dyDescent="0.2">
      <c r="A245" s="121" t="s">
        <v>129</v>
      </c>
      <c r="B245" s="112" t="s">
        <v>130</v>
      </c>
      <c r="C245" s="158">
        <f>SUM(C246:C247)</f>
        <v>130</v>
      </c>
      <c r="D245" s="158">
        <f>SUM(D246:D247)</f>
        <v>130</v>
      </c>
      <c r="E245" s="158">
        <f>SUM(E246:E247)</f>
        <v>0</v>
      </c>
      <c r="F245" s="201"/>
    </row>
    <row r="246" spans="1:23" x14ac:dyDescent="0.2">
      <c r="A246" s="119" t="s">
        <v>143</v>
      </c>
      <c r="B246" s="110" t="s">
        <v>144</v>
      </c>
      <c r="C246" s="157">
        <v>80</v>
      </c>
      <c r="D246" s="157">
        <v>80</v>
      </c>
      <c r="E246" s="157">
        <v>0</v>
      </c>
      <c r="F246" s="203"/>
    </row>
    <row r="247" spans="1:23" x14ac:dyDescent="0.2">
      <c r="A247" s="119" t="s">
        <v>147</v>
      </c>
      <c r="B247" s="110" t="s">
        <v>148</v>
      </c>
      <c r="C247" s="157">
        <v>50</v>
      </c>
      <c r="D247" s="157">
        <v>50</v>
      </c>
      <c r="E247" s="157">
        <v>0</v>
      </c>
      <c r="F247" s="203"/>
    </row>
    <row r="248" spans="1:23" x14ac:dyDescent="0.2">
      <c r="A248" s="121" t="s">
        <v>152</v>
      </c>
      <c r="B248" s="112" t="s">
        <v>153</v>
      </c>
      <c r="C248" s="158">
        <f>SUM(C249:C250)</f>
        <v>100</v>
      </c>
      <c r="D248" s="158">
        <f t="shared" ref="D248:E248" si="45">SUM(D249:D250)</f>
        <v>100</v>
      </c>
      <c r="E248" s="158">
        <f t="shared" si="45"/>
        <v>0</v>
      </c>
      <c r="F248" s="201"/>
    </row>
    <row r="249" spans="1:23" s="101" customFormat="1" x14ac:dyDescent="0.2">
      <c r="A249" s="137" t="s">
        <v>156</v>
      </c>
      <c r="B249" s="351" t="s">
        <v>157</v>
      </c>
      <c r="C249" s="358">
        <v>50</v>
      </c>
      <c r="D249" s="358">
        <v>50</v>
      </c>
      <c r="E249" s="358">
        <v>0</v>
      </c>
      <c r="F249" s="352"/>
    </row>
    <row r="250" spans="1:23" s="101" customFormat="1" x14ac:dyDescent="0.2">
      <c r="A250" s="137" t="s">
        <v>162</v>
      </c>
      <c r="B250" s="351" t="s">
        <v>153</v>
      </c>
      <c r="C250" s="358">
        <v>50</v>
      </c>
      <c r="D250" s="358">
        <v>50</v>
      </c>
      <c r="E250" s="358">
        <v>0</v>
      </c>
      <c r="F250" s="352"/>
    </row>
    <row r="251" spans="1:23" s="101" customFormat="1" x14ac:dyDescent="0.2">
      <c r="A251" s="349" t="s">
        <v>200</v>
      </c>
      <c r="B251" s="139" t="s">
        <v>206</v>
      </c>
      <c r="C251" s="357">
        <f t="shared" ref="C251:E252" si="46">C252</f>
        <v>1100</v>
      </c>
      <c r="D251" s="357">
        <f t="shared" si="46"/>
        <v>1100</v>
      </c>
      <c r="E251" s="357">
        <f t="shared" si="46"/>
        <v>998.14</v>
      </c>
      <c r="F251" s="350">
        <f t="shared" si="44"/>
        <v>90.74</v>
      </c>
    </row>
    <row r="252" spans="1:23" s="101" customFormat="1" x14ac:dyDescent="0.2">
      <c r="A252" s="223">
        <v>381</v>
      </c>
      <c r="B252" s="123" t="s">
        <v>303</v>
      </c>
      <c r="C252" s="329">
        <f t="shared" si="46"/>
        <v>1100</v>
      </c>
      <c r="D252" s="329">
        <f t="shared" si="46"/>
        <v>1100</v>
      </c>
      <c r="E252" s="329">
        <f t="shared" si="46"/>
        <v>998.14</v>
      </c>
      <c r="F252" s="330"/>
    </row>
    <row r="253" spans="1:23" s="101" customFormat="1" ht="13.5" thickBot="1" x14ac:dyDescent="0.25">
      <c r="A253" s="122">
        <v>3812</v>
      </c>
      <c r="B253" s="113" t="s">
        <v>304</v>
      </c>
      <c r="C253" s="368">
        <v>1100</v>
      </c>
      <c r="D253" s="368">
        <v>1100</v>
      </c>
      <c r="E253" s="368">
        <v>998.14</v>
      </c>
      <c r="F253" s="204"/>
    </row>
    <row r="254" spans="1:23" s="101" customFormat="1" ht="13.5" thickTop="1" x14ac:dyDescent="0.2">
      <c r="A254" s="178"/>
      <c r="B254" s="179"/>
      <c r="C254" s="311"/>
      <c r="D254" s="311"/>
      <c r="E254" s="328"/>
      <c r="F254" s="205"/>
    </row>
    <row r="255" spans="1:23" s="101" customFormat="1" x14ac:dyDescent="0.2">
      <c r="A255" s="108" t="s">
        <v>368</v>
      </c>
      <c r="B255" s="378"/>
      <c r="C255" s="306"/>
      <c r="D255" s="306"/>
      <c r="E255" s="306"/>
      <c r="F255" s="182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</row>
    <row r="256" spans="1:23" s="101" customFormat="1" ht="13.5" thickBot="1" x14ac:dyDescent="0.25">
      <c r="A256" s="416"/>
      <c r="B256" s="416"/>
      <c r="C256" s="416"/>
      <c r="D256" s="416"/>
      <c r="E256" s="416"/>
      <c r="F256" s="416"/>
    </row>
    <row r="257" spans="1:23" s="101" customFormat="1" ht="39.75" thickTop="1" thickBot="1" x14ac:dyDescent="0.25">
      <c r="A257" s="114" t="s">
        <v>284</v>
      </c>
      <c r="B257" s="115" t="s">
        <v>244</v>
      </c>
      <c r="C257" s="115" t="s">
        <v>324</v>
      </c>
      <c r="D257" s="115" t="s">
        <v>325</v>
      </c>
      <c r="E257" s="115" t="s">
        <v>326</v>
      </c>
      <c r="F257" s="183" t="s">
        <v>245</v>
      </c>
    </row>
    <row r="258" spans="1:23" s="101" customFormat="1" ht="14.25" thickTop="1" thickBot="1" x14ac:dyDescent="0.25">
      <c r="A258" s="540">
        <v>1</v>
      </c>
      <c r="B258" s="541"/>
      <c r="C258" s="115">
        <v>2</v>
      </c>
      <c r="D258" s="115">
        <v>3</v>
      </c>
      <c r="E258" s="115">
        <v>4</v>
      </c>
      <c r="F258" s="183" t="s">
        <v>246</v>
      </c>
    </row>
    <row r="259" spans="1:23" s="101" customFormat="1" ht="13.5" thickTop="1" x14ac:dyDescent="0.2">
      <c r="A259" s="347" t="s">
        <v>6</v>
      </c>
      <c r="B259" s="132" t="s">
        <v>195</v>
      </c>
      <c r="C259" s="356">
        <f>C260</f>
        <v>0</v>
      </c>
      <c r="D259" s="356">
        <f t="shared" ref="D259:E259" si="47">D260</f>
        <v>790</v>
      </c>
      <c r="E259" s="356">
        <f t="shared" si="47"/>
        <v>0</v>
      </c>
      <c r="F259" s="348">
        <f>E259/D259*100</f>
        <v>0</v>
      </c>
    </row>
    <row r="260" spans="1:23" s="101" customFormat="1" x14ac:dyDescent="0.2">
      <c r="A260" s="349" t="s">
        <v>197</v>
      </c>
      <c r="B260" s="139" t="s">
        <v>203</v>
      </c>
      <c r="C260" s="357">
        <f>C261+C263</f>
        <v>0</v>
      </c>
      <c r="D260" s="357">
        <f t="shared" ref="D260:E260" si="48">D261+D263</f>
        <v>790</v>
      </c>
      <c r="E260" s="357">
        <f t="shared" si="48"/>
        <v>0</v>
      </c>
      <c r="F260" s="350">
        <f t="shared" ref="F260" si="49">E260/D260*100</f>
        <v>0</v>
      </c>
    </row>
    <row r="261" spans="1:23" s="101" customFormat="1" x14ac:dyDescent="0.2">
      <c r="A261" s="223" t="s">
        <v>109</v>
      </c>
      <c r="B261" s="123" t="s">
        <v>110</v>
      </c>
      <c r="C261" s="329">
        <f>SUM(C262:C262)</f>
        <v>0</v>
      </c>
      <c r="D261" s="329">
        <f>SUM(D262:D262)</f>
        <v>74</v>
      </c>
      <c r="E261" s="329">
        <f>SUM(E262:E262)</f>
        <v>0</v>
      </c>
      <c r="F261" s="330"/>
    </row>
    <row r="262" spans="1:23" s="101" customFormat="1" x14ac:dyDescent="0.2">
      <c r="A262" s="119" t="s">
        <v>115</v>
      </c>
      <c r="B262" s="110" t="s">
        <v>116</v>
      </c>
      <c r="C262" s="157">
        <v>0</v>
      </c>
      <c r="D262" s="157">
        <v>74</v>
      </c>
      <c r="E262" s="157">
        <v>0</v>
      </c>
      <c r="F262" s="203"/>
    </row>
    <row r="263" spans="1:23" s="101" customFormat="1" x14ac:dyDescent="0.2">
      <c r="A263" s="121" t="s">
        <v>117</v>
      </c>
      <c r="B263" s="112" t="s">
        <v>118</v>
      </c>
      <c r="C263" s="158">
        <f>SUM(C264:C264)</f>
        <v>0</v>
      </c>
      <c r="D263" s="158">
        <f>SUM(D264:D264)</f>
        <v>716</v>
      </c>
      <c r="E263" s="158">
        <f>SUM(E264:E264)</f>
        <v>0</v>
      </c>
      <c r="F263" s="201"/>
    </row>
    <row r="264" spans="1:23" s="101" customFormat="1" ht="13.5" thickBot="1" x14ac:dyDescent="0.25">
      <c r="A264" s="122" t="s">
        <v>179</v>
      </c>
      <c r="B264" s="113" t="s">
        <v>180</v>
      </c>
      <c r="C264" s="368">
        <v>0</v>
      </c>
      <c r="D264" s="368">
        <v>716</v>
      </c>
      <c r="E264" s="368">
        <v>0</v>
      </c>
      <c r="F264" s="204"/>
    </row>
    <row r="265" spans="1:23" s="101" customFormat="1" ht="13.5" thickTop="1" x14ac:dyDescent="0.2">
      <c r="A265" s="178"/>
      <c r="B265" s="179"/>
      <c r="C265" s="328"/>
      <c r="D265" s="328"/>
      <c r="E265" s="328"/>
      <c r="F265" s="205"/>
    </row>
    <row r="266" spans="1:23" s="101" customFormat="1" x14ac:dyDescent="0.2">
      <c r="A266" s="108" t="s">
        <v>333</v>
      </c>
      <c r="B266" s="373"/>
      <c r="C266" s="306"/>
      <c r="D266" s="306"/>
      <c r="E266" s="306"/>
      <c r="F266" s="182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</row>
    <row r="267" spans="1:23" s="101" customFormat="1" ht="13.5" thickBot="1" x14ac:dyDescent="0.25">
      <c r="A267" s="416"/>
      <c r="B267" s="416"/>
      <c r="C267" s="416"/>
      <c r="D267" s="416"/>
      <c r="E267" s="416"/>
      <c r="F267" s="416"/>
    </row>
    <row r="268" spans="1:23" s="101" customFormat="1" ht="39.75" thickTop="1" thickBot="1" x14ac:dyDescent="0.25">
      <c r="A268" s="114" t="s">
        <v>284</v>
      </c>
      <c r="B268" s="115" t="s">
        <v>244</v>
      </c>
      <c r="C268" s="115" t="s">
        <v>324</v>
      </c>
      <c r="D268" s="115" t="s">
        <v>325</v>
      </c>
      <c r="E268" s="115" t="s">
        <v>326</v>
      </c>
      <c r="F268" s="183" t="s">
        <v>245</v>
      </c>
    </row>
    <row r="269" spans="1:23" s="101" customFormat="1" ht="14.25" thickTop="1" thickBot="1" x14ac:dyDescent="0.25">
      <c r="A269" s="540">
        <v>1</v>
      </c>
      <c r="B269" s="541"/>
      <c r="C269" s="115">
        <v>2</v>
      </c>
      <c r="D269" s="115">
        <v>3</v>
      </c>
      <c r="E269" s="115">
        <v>4</v>
      </c>
      <c r="F269" s="183" t="s">
        <v>246</v>
      </c>
    </row>
    <row r="270" spans="1:23" s="101" customFormat="1" ht="13.5" thickTop="1" x14ac:dyDescent="0.2">
      <c r="A270" s="347" t="s">
        <v>6</v>
      </c>
      <c r="B270" s="132" t="s">
        <v>195</v>
      </c>
      <c r="C270" s="356">
        <f>C271+C276</f>
        <v>7900</v>
      </c>
      <c r="D270" s="356">
        <f t="shared" ref="D270:F270" si="50">D271+D276</f>
        <v>7900</v>
      </c>
      <c r="E270" s="356">
        <f t="shared" si="50"/>
        <v>385</v>
      </c>
      <c r="F270" s="348">
        <f t="shared" ref="F270:F271" si="51">E270/D270*100</f>
        <v>4.8734177215189876</v>
      </c>
    </row>
    <row r="271" spans="1:23" s="101" customFormat="1" x14ac:dyDescent="0.2">
      <c r="A271" s="349" t="s">
        <v>196</v>
      </c>
      <c r="B271" s="139" t="s">
        <v>202</v>
      </c>
      <c r="C271" s="357">
        <f>C272+C274</f>
        <v>6200</v>
      </c>
      <c r="D271" s="357">
        <f>D272+D274</f>
        <v>6200</v>
      </c>
      <c r="E271" s="357">
        <f>E272+E274</f>
        <v>0</v>
      </c>
      <c r="F271" s="350">
        <f t="shared" si="51"/>
        <v>0</v>
      </c>
    </row>
    <row r="272" spans="1:23" s="101" customFormat="1" x14ac:dyDescent="0.2">
      <c r="A272" s="223" t="s">
        <v>96</v>
      </c>
      <c r="B272" s="123" t="s">
        <v>97</v>
      </c>
      <c r="C272" s="329">
        <f>SUM(C273:C273)</f>
        <v>5300</v>
      </c>
      <c r="D272" s="329">
        <f>SUM(D273:D273)</f>
        <v>5300</v>
      </c>
      <c r="E272" s="329">
        <f>SUM(E273:E273)</f>
        <v>0</v>
      </c>
      <c r="F272" s="330"/>
    </row>
    <row r="273" spans="1:23" s="101" customFormat="1" x14ac:dyDescent="0.2">
      <c r="A273" s="119" t="s">
        <v>98</v>
      </c>
      <c r="B273" s="110" t="s">
        <v>99</v>
      </c>
      <c r="C273" s="157">
        <v>5300</v>
      </c>
      <c r="D273" s="157">
        <v>5300</v>
      </c>
      <c r="E273" s="157">
        <v>0</v>
      </c>
      <c r="F273" s="203"/>
    </row>
    <row r="274" spans="1:23" s="101" customFormat="1" x14ac:dyDescent="0.2">
      <c r="A274" s="121" t="s">
        <v>105</v>
      </c>
      <c r="B274" s="112" t="s">
        <v>106</v>
      </c>
      <c r="C274" s="158">
        <f>C275</f>
        <v>900</v>
      </c>
      <c r="D274" s="158">
        <f>D275</f>
        <v>900</v>
      </c>
      <c r="E274" s="158">
        <f>E275</f>
        <v>0</v>
      </c>
      <c r="F274" s="201"/>
    </row>
    <row r="275" spans="1:23" s="101" customFormat="1" x14ac:dyDescent="0.2">
      <c r="A275" s="137">
        <v>3132</v>
      </c>
      <c r="B275" s="354" t="s">
        <v>305</v>
      </c>
      <c r="C275" s="358">
        <v>900</v>
      </c>
      <c r="D275" s="358">
        <v>900</v>
      </c>
      <c r="E275" s="358">
        <v>0</v>
      </c>
      <c r="F275" s="352"/>
    </row>
    <row r="276" spans="1:23" s="101" customFormat="1" x14ac:dyDescent="0.2">
      <c r="A276" s="349" t="s">
        <v>197</v>
      </c>
      <c r="B276" s="139" t="s">
        <v>203</v>
      </c>
      <c r="C276" s="357">
        <f>C277+C279+C283</f>
        <v>1700</v>
      </c>
      <c r="D276" s="357">
        <f t="shared" ref="D276:F276" si="52">D277+D279+D283</f>
        <v>1700</v>
      </c>
      <c r="E276" s="357">
        <f t="shared" si="52"/>
        <v>385</v>
      </c>
      <c r="F276" s="350">
        <f t="shared" ref="F276" si="53">E276/D276*100</f>
        <v>22.647058823529413</v>
      </c>
    </row>
    <row r="277" spans="1:23" s="101" customFormat="1" x14ac:dyDescent="0.2">
      <c r="A277" s="223" t="s">
        <v>109</v>
      </c>
      <c r="B277" s="123" t="s">
        <v>110</v>
      </c>
      <c r="C277" s="329">
        <f>SUM(C278:C278)</f>
        <v>300</v>
      </c>
      <c r="D277" s="329">
        <f>SUM(D278:D278)</f>
        <v>300</v>
      </c>
      <c r="E277" s="329">
        <f>SUM(E278:E278)</f>
        <v>0</v>
      </c>
      <c r="F277" s="330"/>
    </row>
    <row r="278" spans="1:23" s="101" customFormat="1" x14ac:dyDescent="0.2">
      <c r="A278" s="119" t="s">
        <v>113</v>
      </c>
      <c r="B278" s="110" t="s">
        <v>114</v>
      </c>
      <c r="C278" s="157">
        <v>300</v>
      </c>
      <c r="D278" s="157">
        <v>300</v>
      </c>
      <c r="E278" s="157">
        <v>0</v>
      </c>
      <c r="F278" s="203"/>
    </row>
    <row r="279" spans="1:23" s="101" customFormat="1" x14ac:dyDescent="0.2">
      <c r="A279" s="121" t="s">
        <v>117</v>
      </c>
      <c r="B279" s="112" t="s">
        <v>118</v>
      </c>
      <c r="C279" s="158">
        <f>SUM(C280:C282)</f>
        <v>1200</v>
      </c>
      <c r="D279" s="158">
        <f t="shared" ref="D279:E279" si="54">SUM(D280:D282)</f>
        <v>1200</v>
      </c>
      <c r="E279" s="158">
        <f t="shared" si="54"/>
        <v>347.5</v>
      </c>
      <c r="F279" s="201"/>
    </row>
    <row r="280" spans="1:23" s="101" customFormat="1" x14ac:dyDescent="0.2">
      <c r="A280" s="119" t="s">
        <v>119</v>
      </c>
      <c r="B280" s="110" t="s">
        <v>120</v>
      </c>
      <c r="C280" s="157">
        <v>200</v>
      </c>
      <c r="D280" s="157">
        <v>200</v>
      </c>
      <c r="E280" s="157">
        <v>0</v>
      </c>
      <c r="F280" s="203"/>
    </row>
    <row r="281" spans="1:23" s="101" customFormat="1" x14ac:dyDescent="0.2">
      <c r="A281" s="119" t="s">
        <v>179</v>
      </c>
      <c r="B281" s="110" t="s">
        <v>180</v>
      </c>
      <c r="C281" s="157">
        <v>800</v>
      </c>
      <c r="D281" s="157">
        <v>800</v>
      </c>
      <c r="E281" s="157">
        <v>347.5</v>
      </c>
      <c r="F281" s="203"/>
    </row>
    <row r="282" spans="1:23" s="101" customFormat="1" x14ac:dyDescent="0.2">
      <c r="A282" s="119">
        <v>3225</v>
      </c>
      <c r="B282" s="110" t="s">
        <v>313</v>
      </c>
      <c r="C282" s="157">
        <v>200</v>
      </c>
      <c r="D282" s="157">
        <v>200</v>
      </c>
      <c r="E282" s="157">
        <v>0</v>
      </c>
      <c r="F282" s="203"/>
    </row>
    <row r="283" spans="1:23" s="101" customFormat="1" x14ac:dyDescent="0.2">
      <c r="A283" s="121" t="s">
        <v>129</v>
      </c>
      <c r="B283" s="112" t="s">
        <v>130</v>
      </c>
      <c r="C283" s="158">
        <f>SUM(C284:C284)</f>
        <v>200</v>
      </c>
      <c r="D283" s="158">
        <f>SUM(D284:D284)</f>
        <v>200</v>
      </c>
      <c r="E283" s="158">
        <f>SUM(E284:E284)</f>
        <v>37.5</v>
      </c>
      <c r="F283" s="201"/>
    </row>
    <row r="284" spans="1:23" s="101" customFormat="1" ht="13.5" thickBot="1" x14ac:dyDescent="0.25">
      <c r="A284" s="122" t="s">
        <v>147</v>
      </c>
      <c r="B284" s="113" t="s">
        <v>148</v>
      </c>
      <c r="C284" s="368">
        <v>200</v>
      </c>
      <c r="D284" s="368">
        <v>200</v>
      </c>
      <c r="E284" s="368">
        <v>37.5</v>
      </c>
      <c r="F284" s="204"/>
    </row>
    <row r="285" spans="1:23" s="101" customFormat="1" ht="13.5" thickTop="1" x14ac:dyDescent="0.2">
      <c r="A285" s="178"/>
      <c r="B285" s="179"/>
      <c r="C285" s="311"/>
      <c r="D285" s="311"/>
      <c r="E285" s="311"/>
      <c r="F285" s="205"/>
    </row>
    <row r="286" spans="1:23" s="101" customFormat="1" x14ac:dyDescent="0.2">
      <c r="A286" s="108" t="s">
        <v>331</v>
      </c>
      <c r="B286" s="100"/>
      <c r="C286" s="306"/>
      <c r="D286" s="306"/>
      <c r="E286" s="306"/>
      <c r="F286" s="182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</row>
    <row r="287" spans="1:23" s="101" customFormat="1" ht="13.5" thickBot="1" x14ac:dyDescent="0.25">
      <c r="A287" s="416"/>
      <c r="B287" s="416"/>
      <c r="C287" s="416"/>
      <c r="D287" s="416"/>
      <c r="E287" s="416"/>
      <c r="F287" s="416"/>
    </row>
    <row r="288" spans="1:23" s="101" customFormat="1" ht="39.75" thickTop="1" thickBot="1" x14ac:dyDescent="0.25">
      <c r="A288" s="114" t="s">
        <v>284</v>
      </c>
      <c r="B288" s="115" t="s">
        <v>244</v>
      </c>
      <c r="C288" s="115" t="s">
        <v>324</v>
      </c>
      <c r="D288" s="115" t="s">
        <v>325</v>
      </c>
      <c r="E288" s="115" t="s">
        <v>326</v>
      </c>
      <c r="F288" s="183" t="s">
        <v>245</v>
      </c>
    </row>
    <row r="289" spans="1:6" s="101" customFormat="1" ht="15.75" customHeight="1" thickTop="1" thickBot="1" x14ac:dyDescent="0.25">
      <c r="A289" s="545">
        <v>1</v>
      </c>
      <c r="B289" s="546"/>
      <c r="C289" s="369">
        <v>2</v>
      </c>
      <c r="D289" s="369">
        <v>3</v>
      </c>
      <c r="E289" s="369">
        <v>4</v>
      </c>
      <c r="F289" s="355" t="s">
        <v>246</v>
      </c>
    </row>
    <row r="290" spans="1:6" ht="13.5" thickTop="1" x14ac:dyDescent="0.2">
      <c r="A290" s="347" t="s">
        <v>6</v>
      </c>
      <c r="B290" s="132" t="s">
        <v>195</v>
      </c>
      <c r="C290" s="356">
        <f>C291+C301</f>
        <v>4000</v>
      </c>
      <c r="D290" s="356">
        <f t="shared" ref="D290:E290" si="55">D291+D301</f>
        <v>4000</v>
      </c>
      <c r="E290" s="356">
        <f t="shared" si="55"/>
        <v>510</v>
      </c>
      <c r="F290" s="348">
        <f t="shared" ref="F290:F301" si="56">E290/D290*100</f>
        <v>12.75</v>
      </c>
    </row>
    <row r="291" spans="1:6" x14ac:dyDescent="0.2">
      <c r="A291" s="349" t="s">
        <v>197</v>
      </c>
      <c r="B291" s="139" t="s">
        <v>203</v>
      </c>
      <c r="C291" s="357">
        <f>C292+C294+C297+C299</f>
        <v>3800</v>
      </c>
      <c r="D291" s="357">
        <f t="shared" ref="D291:E291" si="57">D292+D294+D297+D299</f>
        <v>3800</v>
      </c>
      <c r="E291" s="357">
        <f t="shared" si="57"/>
        <v>510</v>
      </c>
      <c r="F291" s="350">
        <f t="shared" si="56"/>
        <v>13.421052631578947</v>
      </c>
    </row>
    <row r="292" spans="1:6" x14ac:dyDescent="0.2">
      <c r="A292" s="223" t="s">
        <v>109</v>
      </c>
      <c r="B292" s="123" t="s">
        <v>110</v>
      </c>
      <c r="C292" s="329">
        <f>C293</f>
        <v>1100</v>
      </c>
      <c r="D292" s="329">
        <f>D293</f>
        <v>1100</v>
      </c>
      <c r="E292" s="329">
        <f>E293</f>
        <v>510</v>
      </c>
      <c r="F292" s="330"/>
    </row>
    <row r="293" spans="1:6" x14ac:dyDescent="0.2">
      <c r="A293" s="119" t="s">
        <v>111</v>
      </c>
      <c r="B293" s="110" t="s">
        <v>112</v>
      </c>
      <c r="C293" s="157">
        <v>1100</v>
      </c>
      <c r="D293" s="157">
        <v>1100</v>
      </c>
      <c r="E293" s="157">
        <v>510</v>
      </c>
      <c r="F293" s="203"/>
    </row>
    <row r="294" spans="1:6" x14ac:dyDescent="0.2">
      <c r="A294" s="121" t="s">
        <v>117</v>
      </c>
      <c r="B294" s="112" t="s">
        <v>118</v>
      </c>
      <c r="C294" s="158">
        <f>SUM(C295:C296)</f>
        <v>500</v>
      </c>
      <c r="D294" s="158">
        <f>SUM(D295:D296)</f>
        <v>500</v>
      </c>
      <c r="E294" s="158">
        <f>SUM(E295:E296)</f>
        <v>0</v>
      </c>
      <c r="F294" s="201"/>
    </row>
    <row r="295" spans="1:6" x14ac:dyDescent="0.2">
      <c r="A295" s="119" t="s">
        <v>119</v>
      </c>
      <c r="B295" s="110" t="s">
        <v>120</v>
      </c>
      <c r="C295" s="157">
        <v>100</v>
      </c>
      <c r="D295" s="157">
        <v>100</v>
      </c>
      <c r="E295" s="157">
        <v>0</v>
      </c>
      <c r="F295" s="203"/>
    </row>
    <row r="296" spans="1:6" x14ac:dyDescent="0.2">
      <c r="A296" s="119" t="s">
        <v>127</v>
      </c>
      <c r="B296" s="110" t="s">
        <v>128</v>
      </c>
      <c r="C296" s="157">
        <v>400</v>
      </c>
      <c r="D296" s="157">
        <v>400</v>
      </c>
      <c r="E296" s="157">
        <v>0</v>
      </c>
      <c r="F296" s="203"/>
    </row>
    <row r="297" spans="1:6" s="101" customFormat="1" x14ac:dyDescent="0.2">
      <c r="A297" s="121" t="s">
        <v>129</v>
      </c>
      <c r="B297" s="112" t="s">
        <v>130</v>
      </c>
      <c r="C297" s="158">
        <f>SUM(C298:C298)</f>
        <v>1200</v>
      </c>
      <c r="D297" s="158">
        <f>SUM(D298:D298)</f>
        <v>1200</v>
      </c>
      <c r="E297" s="158">
        <f>SUM(E298:E298)</f>
        <v>0</v>
      </c>
      <c r="F297" s="201"/>
    </row>
    <row r="298" spans="1:6" s="101" customFormat="1" x14ac:dyDescent="0.2">
      <c r="A298" s="119" t="s">
        <v>131</v>
      </c>
      <c r="B298" s="110" t="s">
        <v>132</v>
      </c>
      <c r="C298" s="157">
        <v>1200</v>
      </c>
      <c r="D298" s="157">
        <v>1200</v>
      </c>
      <c r="E298" s="157">
        <v>0</v>
      </c>
      <c r="F298" s="203"/>
    </row>
    <row r="299" spans="1:6" s="101" customFormat="1" x14ac:dyDescent="0.2">
      <c r="A299" s="121" t="s">
        <v>149</v>
      </c>
      <c r="B299" s="112" t="s">
        <v>150</v>
      </c>
      <c r="C299" s="158">
        <f>C300</f>
        <v>1000</v>
      </c>
      <c r="D299" s="158">
        <f>D300</f>
        <v>1000</v>
      </c>
      <c r="E299" s="158">
        <f>E300</f>
        <v>0</v>
      </c>
      <c r="F299" s="201"/>
    </row>
    <row r="300" spans="1:6" s="101" customFormat="1" x14ac:dyDescent="0.2">
      <c r="A300" s="137" t="s">
        <v>151</v>
      </c>
      <c r="B300" s="351" t="s">
        <v>150</v>
      </c>
      <c r="C300" s="358">
        <v>1000</v>
      </c>
      <c r="D300" s="358">
        <v>1000</v>
      </c>
      <c r="E300" s="358">
        <v>0</v>
      </c>
      <c r="F300" s="352"/>
    </row>
    <row r="301" spans="1:6" x14ac:dyDescent="0.2">
      <c r="A301" s="349" t="s">
        <v>199</v>
      </c>
      <c r="B301" s="139" t="s">
        <v>205</v>
      </c>
      <c r="C301" s="357">
        <f t="shared" ref="C301:E302" si="58">C302</f>
        <v>200</v>
      </c>
      <c r="D301" s="357">
        <f t="shared" si="58"/>
        <v>200</v>
      </c>
      <c r="E301" s="357">
        <f t="shared" si="58"/>
        <v>0</v>
      </c>
      <c r="F301" s="350">
        <f t="shared" si="56"/>
        <v>0</v>
      </c>
    </row>
    <row r="302" spans="1:6" x14ac:dyDescent="0.2">
      <c r="A302" s="223" t="s">
        <v>167</v>
      </c>
      <c r="B302" s="123" t="s">
        <v>168</v>
      </c>
      <c r="C302" s="329">
        <f t="shared" si="58"/>
        <v>200</v>
      </c>
      <c r="D302" s="329">
        <f t="shared" si="58"/>
        <v>200</v>
      </c>
      <c r="E302" s="329">
        <f t="shared" si="58"/>
        <v>0</v>
      </c>
      <c r="F302" s="330"/>
    </row>
    <row r="303" spans="1:6" ht="13.5" thickBot="1" x14ac:dyDescent="0.25">
      <c r="A303" s="122" t="s">
        <v>189</v>
      </c>
      <c r="B303" s="113" t="s">
        <v>190</v>
      </c>
      <c r="C303" s="368">
        <v>200</v>
      </c>
      <c r="D303" s="368">
        <v>200</v>
      </c>
      <c r="E303" s="368">
        <v>0</v>
      </c>
      <c r="F303" s="204"/>
    </row>
    <row r="304" spans="1:6" s="101" customFormat="1" ht="13.5" thickTop="1" x14ac:dyDescent="0.2">
      <c r="A304" s="178"/>
      <c r="B304" s="179"/>
      <c r="C304" s="328"/>
      <c r="D304" s="311"/>
      <c r="E304" s="311"/>
      <c r="F304" s="205"/>
    </row>
    <row r="305" spans="1:23" s="101" customFormat="1" x14ac:dyDescent="0.2">
      <c r="A305" s="108" t="s">
        <v>366</v>
      </c>
      <c r="B305" s="378"/>
      <c r="C305" s="306"/>
      <c r="D305" s="306"/>
      <c r="E305" s="306"/>
      <c r="F305" s="182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</row>
    <row r="306" spans="1:23" s="101" customFormat="1" ht="13.5" thickBot="1" x14ac:dyDescent="0.25">
      <c r="A306" s="416"/>
      <c r="B306" s="416"/>
      <c r="C306" s="416"/>
      <c r="D306" s="416"/>
      <c r="E306" s="416"/>
      <c r="F306" s="416"/>
    </row>
    <row r="307" spans="1:23" s="101" customFormat="1" ht="39.75" thickTop="1" thickBot="1" x14ac:dyDescent="0.25">
      <c r="A307" s="114" t="s">
        <v>284</v>
      </c>
      <c r="B307" s="115" t="s">
        <v>244</v>
      </c>
      <c r="C307" s="115" t="s">
        <v>324</v>
      </c>
      <c r="D307" s="115" t="s">
        <v>325</v>
      </c>
      <c r="E307" s="115" t="s">
        <v>326</v>
      </c>
      <c r="F307" s="183" t="s">
        <v>245</v>
      </c>
    </row>
    <row r="308" spans="1:23" s="101" customFormat="1" ht="15.75" customHeight="1" thickTop="1" thickBot="1" x14ac:dyDescent="0.25">
      <c r="A308" s="545">
        <v>1</v>
      </c>
      <c r="B308" s="546"/>
      <c r="C308" s="369">
        <v>2</v>
      </c>
      <c r="D308" s="369">
        <v>3</v>
      </c>
      <c r="E308" s="369">
        <v>4</v>
      </c>
      <c r="F308" s="355" t="s">
        <v>246</v>
      </c>
    </row>
    <row r="309" spans="1:23" s="101" customFormat="1" ht="13.5" thickTop="1" x14ac:dyDescent="0.2">
      <c r="A309" s="347" t="s">
        <v>6</v>
      </c>
      <c r="B309" s="132" t="s">
        <v>195</v>
      </c>
      <c r="C309" s="356">
        <f>C310+C313</f>
        <v>0</v>
      </c>
      <c r="D309" s="356">
        <f>D310+D313</f>
        <v>484</v>
      </c>
      <c r="E309" s="356">
        <f>E310+E313</f>
        <v>0</v>
      </c>
      <c r="F309" s="348">
        <f t="shared" ref="F309:F310" si="59">E309/D309*100</f>
        <v>0</v>
      </c>
    </row>
    <row r="310" spans="1:23" s="101" customFormat="1" x14ac:dyDescent="0.2">
      <c r="A310" s="349" t="s">
        <v>197</v>
      </c>
      <c r="B310" s="139" t="s">
        <v>203</v>
      </c>
      <c r="C310" s="357">
        <f>C311</f>
        <v>0</v>
      </c>
      <c r="D310" s="357">
        <f t="shared" ref="D310:E310" si="60">D311</f>
        <v>284</v>
      </c>
      <c r="E310" s="357">
        <f t="shared" si="60"/>
        <v>0</v>
      </c>
      <c r="F310" s="350">
        <f t="shared" si="59"/>
        <v>0</v>
      </c>
    </row>
    <row r="311" spans="1:23" s="101" customFormat="1" x14ac:dyDescent="0.2">
      <c r="A311" s="121" t="s">
        <v>117</v>
      </c>
      <c r="B311" s="112" t="s">
        <v>118</v>
      </c>
      <c r="C311" s="158">
        <f>SUM(C312:C312)</f>
        <v>0</v>
      </c>
      <c r="D311" s="158">
        <f>SUM(D312:D312)</f>
        <v>284</v>
      </c>
      <c r="E311" s="158">
        <f>SUM(E312:E312)</f>
        <v>0</v>
      </c>
      <c r="F311" s="201"/>
    </row>
    <row r="312" spans="1:23" s="101" customFormat="1" x14ac:dyDescent="0.2">
      <c r="A312" s="119" t="s">
        <v>119</v>
      </c>
      <c r="B312" s="110" t="s">
        <v>120</v>
      </c>
      <c r="C312" s="157">
        <v>0</v>
      </c>
      <c r="D312" s="157">
        <v>284</v>
      </c>
      <c r="E312" s="157">
        <v>0</v>
      </c>
      <c r="F312" s="203"/>
    </row>
    <row r="313" spans="1:23" s="101" customFormat="1" x14ac:dyDescent="0.2">
      <c r="A313" s="349" t="s">
        <v>199</v>
      </c>
      <c r="B313" s="139" t="s">
        <v>205</v>
      </c>
      <c r="C313" s="357">
        <f t="shared" ref="C313:E314" si="61">C314</f>
        <v>0</v>
      </c>
      <c r="D313" s="357">
        <f t="shared" si="61"/>
        <v>200</v>
      </c>
      <c r="E313" s="357">
        <f t="shared" si="61"/>
        <v>0</v>
      </c>
      <c r="F313" s="350">
        <f t="shared" ref="F313" si="62">E313/D313*100</f>
        <v>0</v>
      </c>
    </row>
    <row r="314" spans="1:23" s="101" customFormat="1" x14ac:dyDescent="0.2">
      <c r="A314" s="223" t="s">
        <v>167</v>
      </c>
      <c r="B314" s="123" t="s">
        <v>168</v>
      </c>
      <c r="C314" s="329">
        <f t="shared" si="61"/>
        <v>0</v>
      </c>
      <c r="D314" s="329">
        <f t="shared" si="61"/>
        <v>200</v>
      </c>
      <c r="E314" s="329">
        <f t="shared" si="61"/>
        <v>0</v>
      </c>
      <c r="F314" s="330"/>
    </row>
    <row r="315" spans="1:23" s="101" customFormat="1" ht="13.5" thickBot="1" x14ac:dyDescent="0.25">
      <c r="A315" s="122" t="s">
        <v>189</v>
      </c>
      <c r="B315" s="113" t="s">
        <v>190</v>
      </c>
      <c r="C315" s="368">
        <v>0</v>
      </c>
      <c r="D315" s="368">
        <v>200</v>
      </c>
      <c r="E315" s="368">
        <v>0</v>
      </c>
      <c r="F315" s="204"/>
    </row>
    <row r="316" spans="1:23" s="101" customFormat="1" ht="13.5" thickTop="1" x14ac:dyDescent="0.2">
      <c r="A316" s="178"/>
      <c r="B316" s="179"/>
      <c r="C316" s="328"/>
      <c r="D316" s="328"/>
      <c r="E316" s="328"/>
      <c r="F316" s="205"/>
    </row>
    <row r="317" spans="1:23" s="149" customFormat="1" ht="16.5" customHeight="1" x14ac:dyDescent="0.2">
      <c r="A317" s="156" t="s">
        <v>357</v>
      </c>
      <c r="B317" s="327"/>
      <c r="C317" s="310"/>
      <c r="D317" s="310"/>
      <c r="E317" s="310"/>
      <c r="F317" s="200"/>
    </row>
    <row r="318" spans="1:23" s="149" customFormat="1" ht="16.5" customHeight="1" x14ac:dyDescent="0.2">
      <c r="A318" s="156"/>
      <c r="B318" s="327"/>
      <c r="C318" s="310"/>
      <c r="D318" s="310"/>
      <c r="E318" s="310"/>
      <c r="F318" s="200"/>
    </row>
    <row r="319" spans="1:23" s="101" customFormat="1" x14ac:dyDescent="0.2">
      <c r="A319" s="108" t="s">
        <v>360</v>
      </c>
      <c r="B319" s="275"/>
      <c r="C319" s="306"/>
      <c r="D319" s="306"/>
      <c r="E319" s="306"/>
      <c r="F319" s="182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</row>
    <row r="320" spans="1:23" s="101" customFormat="1" ht="13.5" thickBot="1" x14ac:dyDescent="0.25">
      <c r="A320" s="416"/>
      <c r="B320" s="416"/>
      <c r="C320" s="416"/>
      <c r="D320" s="416"/>
      <c r="E320" s="416"/>
      <c r="F320" s="416"/>
    </row>
    <row r="321" spans="1:6" s="101" customFormat="1" ht="39.75" thickTop="1" thickBot="1" x14ac:dyDescent="0.25">
      <c r="A321" s="114" t="s">
        <v>284</v>
      </c>
      <c r="B321" s="115" t="s">
        <v>244</v>
      </c>
      <c r="C321" s="115" t="s">
        <v>324</v>
      </c>
      <c r="D321" s="115" t="s">
        <v>325</v>
      </c>
      <c r="E321" s="115" t="s">
        <v>326</v>
      </c>
      <c r="F321" s="183" t="s">
        <v>245</v>
      </c>
    </row>
    <row r="322" spans="1:6" s="101" customFormat="1" ht="14.25" thickTop="1" thickBot="1" x14ac:dyDescent="0.25">
      <c r="A322" s="540">
        <v>1</v>
      </c>
      <c r="B322" s="541"/>
      <c r="C322" s="115">
        <v>2</v>
      </c>
      <c r="D322" s="115">
        <v>3</v>
      </c>
      <c r="E322" s="115">
        <v>4</v>
      </c>
      <c r="F322" s="183" t="s">
        <v>246</v>
      </c>
    </row>
    <row r="323" spans="1:6" s="101" customFormat="1" ht="13.5" thickTop="1" x14ac:dyDescent="0.2">
      <c r="A323" s="347" t="s">
        <v>6</v>
      </c>
      <c r="B323" s="132" t="s">
        <v>195</v>
      </c>
      <c r="C323" s="356">
        <f>C324+C333+C338</f>
        <v>1956100</v>
      </c>
      <c r="D323" s="356">
        <f>D324+D333+D338</f>
        <v>1956100</v>
      </c>
      <c r="E323" s="356">
        <f>E324+E333+E338</f>
        <v>1049322.58</v>
      </c>
      <c r="F323" s="348">
        <f t="shared" ref="F323:F338" si="63">E323/D323*100</f>
        <v>53.64360615510455</v>
      </c>
    </row>
    <row r="324" spans="1:6" s="101" customFormat="1" x14ac:dyDescent="0.2">
      <c r="A324" s="349" t="s">
        <v>196</v>
      </c>
      <c r="B324" s="139" t="s">
        <v>202</v>
      </c>
      <c r="C324" s="357">
        <f>C325+C329+C331</f>
        <v>1799700</v>
      </c>
      <c r="D324" s="357">
        <f>D325+D329+D331</f>
        <v>1799700</v>
      </c>
      <c r="E324" s="357">
        <f>E325+E329+E331</f>
        <v>976624.97000000009</v>
      </c>
      <c r="F324" s="350">
        <f t="shared" si="63"/>
        <v>54.265987108962612</v>
      </c>
    </row>
    <row r="325" spans="1:6" s="101" customFormat="1" x14ac:dyDescent="0.2">
      <c r="A325" s="223" t="s">
        <v>96</v>
      </c>
      <c r="B325" s="123" t="s">
        <v>97</v>
      </c>
      <c r="C325" s="329">
        <f>SUM(C326:C328)</f>
        <v>1490000</v>
      </c>
      <c r="D325" s="329">
        <f>SUM(D326:D328)</f>
        <v>1490000</v>
      </c>
      <c r="E325" s="329">
        <f>SUM(E326:E328)</f>
        <v>811209.45000000007</v>
      </c>
      <c r="F325" s="330"/>
    </row>
    <row r="326" spans="1:6" s="101" customFormat="1" x14ac:dyDescent="0.2">
      <c r="A326" s="119" t="s">
        <v>98</v>
      </c>
      <c r="B326" s="110" t="s">
        <v>99</v>
      </c>
      <c r="C326" s="157">
        <v>1405000</v>
      </c>
      <c r="D326" s="157">
        <v>1405000</v>
      </c>
      <c r="E326" s="157">
        <v>749374.16</v>
      </c>
      <c r="F326" s="203"/>
    </row>
    <row r="327" spans="1:6" s="101" customFormat="1" x14ac:dyDescent="0.2">
      <c r="A327" s="119" t="s">
        <v>100</v>
      </c>
      <c r="B327" s="110" t="s">
        <v>101</v>
      </c>
      <c r="C327" s="157">
        <v>37000</v>
      </c>
      <c r="D327" s="157">
        <v>37000</v>
      </c>
      <c r="E327" s="157">
        <v>28808.03</v>
      </c>
      <c r="F327" s="203"/>
    </row>
    <row r="328" spans="1:6" s="101" customFormat="1" x14ac:dyDescent="0.2">
      <c r="A328" s="119" t="s">
        <v>191</v>
      </c>
      <c r="B328" s="110" t="s">
        <v>192</v>
      </c>
      <c r="C328" s="157">
        <v>48000</v>
      </c>
      <c r="D328" s="157">
        <v>48000</v>
      </c>
      <c r="E328" s="157">
        <v>33027.26</v>
      </c>
      <c r="F328" s="203"/>
    </row>
    <row r="329" spans="1:6" s="101" customFormat="1" x14ac:dyDescent="0.2">
      <c r="A329" s="121" t="s">
        <v>102</v>
      </c>
      <c r="B329" s="112" t="s">
        <v>103</v>
      </c>
      <c r="C329" s="158">
        <f>C330</f>
        <v>69700</v>
      </c>
      <c r="D329" s="158">
        <f>D330</f>
        <v>69700</v>
      </c>
      <c r="E329" s="158">
        <f>E330</f>
        <v>34213.86</v>
      </c>
      <c r="F329" s="201"/>
    </row>
    <row r="330" spans="1:6" s="101" customFormat="1" x14ac:dyDescent="0.2">
      <c r="A330" s="119" t="s">
        <v>104</v>
      </c>
      <c r="B330" s="110" t="s">
        <v>103</v>
      </c>
      <c r="C330" s="157">
        <v>69700</v>
      </c>
      <c r="D330" s="157">
        <v>69700</v>
      </c>
      <c r="E330" s="157">
        <v>34213.86</v>
      </c>
      <c r="F330" s="203"/>
    </row>
    <row r="331" spans="1:6" s="101" customFormat="1" x14ac:dyDescent="0.2">
      <c r="A331" s="121" t="s">
        <v>105</v>
      </c>
      <c r="B331" s="112" t="s">
        <v>106</v>
      </c>
      <c r="C331" s="158">
        <f>C332</f>
        <v>240000</v>
      </c>
      <c r="D331" s="158">
        <f t="shared" ref="D331:E331" si="64">D332</f>
        <v>240000</v>
      </c>
      <c r="E331" s="158">
        <f t="shared" si="64"/>
        <v>131201.66</v>
      </c>
      <c r="F331" s="201"/>
    </row>
    <row r="332" spans="1:6" s="101" customFormat="1" x14ac:dyDescent="0.2">
      <c r="A332" s="119" t="s">
        <v>107</v>
      </c>
      <c r="B332" s="110" t="s">
        <v>108</v>
      </c>
      <c r="C332" s="157">
        <v>240000</v>
      </c>
      <c r="D332" s="157">
        <v>240000</v>
      </c>
      <c r="E332" s="157">
        <v>131201.66</v>
      </c>
      <c r="F332" s="203"/>
    </row>
    <row r="333" spans="1:6" s="101" customFormat="1" x14ac:dyDescent="0.2">
      <c r="A333" s="349" t="s">
        <v>197</v>
      </c>
      <c r="B333" s="139" t="s">
        <v>203</v>
      </c>
      <c r="C333" s="357">
        <f>C334+C336</f>
        <v>126400</v>
      </c>
      <c r="D333" s="357">
        <f>D334+D336</f>
        <v>126400</v>
      </c>
      <c r="E333" s="357">
        <f>E334+E336</f>
        <v>72697.61</v>
      </c>
      <c r="F333" s="350">
        <f t="shared" si="63"/>
        <v>57.513931962025325</v>
      </c>
    </row>
    <row r="334" spans="1:6" s="101" customFormat="1" x14ac:dyDescent="0.2">
      <c r="A334" s="223" t="s">
        <v>109</v>
      </c>
      <c r="B334" s="123" t="s">
        <v>110</v>
      </c>
      <c r="C334" s="329">
        <f>SUM(C335:C335)</f>
        <v>17500</v>
      </c>
      <c r="D334" s="329">
        <f>SUM(D335:D335)</f>
        <v>17500</v>
      </c>
      <c r="E334" s="329">
        <f>SUM(E335:E335)</f>
        <v>10802.78</v>
      </c>
      <c r="F334" s="330"/>
    </row>
    <row r="335" spans="1:6" s="101" customFormat="1" x14ac:dyDescent="0.2">
      <c r="A335" s="119" t="s">
        <v>113</v>
      </c>
      <c r="B335" s="110" t="s">
        <v>114</v>
      </c>
      <c r="C335" s="157">
        <v>17500</v>
      </c>
      <c r="D335" s="157">
        <v>17500</v>
      </c>
      <c r="E335" s="157">
        <v>10802.78</v>
      </c>
      <c r="F335" s="203"/>
    </row>
    <row r="336" spans="1:6" s="101" customFormat="1" x14ac:dyDescent="0.2">
      <c r="A336" s="121" t="s">
        <v>117</v>
      </c>
      <c r="B336" s="112" t="s">
        <v>118</v>
      </c>
      <c r="C336" s="158">
        <f>SUM(C337:C337)</f>
        <v>108900</v>
      </c>
      <c r="D336" s="158">
        <f>SUM(D337:D337)</f>
        <v>108900</v>
      </c>
      <c r="E336" s="158">
        <f>SUM(E337:E337)</f>
        <v>61894.83</v>
      </c>
      <c r="F336" s="201"/>
    </row>
    <row r="337" spans="1:23" s="101" customFormat="1" x14ac:dyDescent="0.2">
      <c r="A337" s="137" t="s">
        <v>179</v>
      </c>
      <c r="B337" s="351" t="s">
        <v>180</v>
      </c>
      <c r="C337" s="358">
        <v>108900</v>
      </c>
      <c r="D337" s="358">
        <v>108900</v>
      </c>
      <c r="E337" s="358">
        <v>61894.83</v>
      </c>
      <c r="F337" s="352"/>
    </row>
    <row r="338" spans="1:23" s="101" customFormat="1" x14ac:dyDescent="0.2">
      <c r="A338" s="349" t="s">
        <v>199</v>
      </c>
      <c r="B338" s="139" t="s">
        <v>205</v>
      </c>
      <c r="C338" s="357">
        <f t="shared" ref="C338:E339" si="65">C339</f>
        <v>30000</v>
      </c>
      <c r="D338" s="357">
        <f t="shared" si="65"/>
        <v>30000</v>
      </c>
      <c r="E338" s="357">
        <f t="shared" si="65"/>
        <v>0</v>
      </c>
      <c r="F338" s="350">
        <f t="shared" si="63"/>
        <v>0</v>
      </c>
    </row>
    <row r="339" spans="1:23" s="101" customFormat="1" x14ac:dyDescent="0.2">
      <c r="A339" s="223" t="s">
        <v>167</v>
      </c>
      <c r="B339" s="123" t="s">
        <v>168</v>
      </c>
      <c r="C339" s="329">
        <f t="shared" si="65"/>
        <v>30000</v>
      </c>
      <c r="D339" s="329">
        <f t="shared" si="65"/>
        <v>30000</v>
      </c>
      <c r="E339" s="329">
        <f t="shared" si="65"/>
        <v>0</v>
      </c>
      <c r="F339" s="330"/>
    </row>
    <row r="340" spans="1:23" s="101" customFormat="1" ht="13.5" thickBot="1" x14ac:dyDescent="0.25">
      <c r="A340" s="122" t="s">
        <v>189</v>
      </c>
      <c r="B340" s="113" t="s">
        <v>190</v>
      </c>
      <c r="C340" s="368">
        <v>30000</v>
      </c>
      <c r="D340" s="368">
        <v>30000</v>
      </c>
      <c r="E340" s="368">
        <v>0</v>
      </c>
      <c r="F340" s="204"/>
    </row>
    <row r="341" spans="1:23" s="101" customFormat="1" ht="14.25" thickTop="1" thickBot="1" x14ac:dyDescent="0.25">
      <c r="A341" s="382"/>
      <c r="B341" s="383"/>
      <c r="C341" s="384"/>
      <c r="D341" s="384"/>
      <c r="E341" s="384"/>
      <c r="F341" s="385"/>
    </row>
    <row r="342" spans="1:23" ht="13.5" thickTop="1" x14ac:dyDescent="0.2">
      <c r="A342" s="347" t="s">
        <v>7</v>
      </c>
      <c r="B342" s="132" t="s">
        <v>207</v>
      </c>
      <c r="C342" s="356">
        <f>C343</f>
        <v>10000</v>
      </c>
      <c r="D342" s="356">
        <f t="shared" ref="D342:E344" si="66">D343</f>
        <v>10000</v>
      </c>
      <c r="E342" s="356">
        <f t="shared" si="66"/>
        <v>0</v>
      </c>
      <c r="F342" s="348">
        <f>E342/D342*100</f>
        <v>0</v>
      </c>
    </row>
    <row r="343" spans="1:23" x14ac:dyDescent="0.2">
      <c r="A343" s="349" t="s">
        <v>201</v>
      </c>
      <c r="B343" s="139" t="s">
        <v>208</v>
      </c>
      <c r="C343" s="357">
        <f>C344</f>
        <v>10000</v>
      </c>
      <c r="D343" s="357">
        <f t="shared" si="66"/>
        <v>10000</v>
      </c>
      <c r="E343" s="357">
        <f t="shared" si="66"/>
        <v>0</v>
      </c>
      <c r="F343" s="350">
        <f>E343/D343*100</f>
        <v>0</v>
      </c>
    </row>
    <row r="344" spans="1:23" x14ac:dyDescent="0.2">
      <c r="A344" s="223" t="s">
        <v>181</v>
      </c>
      <c r="B344" s="123" t="s">
        <v>182</v>
      </c>
      <c r="C344" s="329">
        <f>C345</f>
        <v>10000</v>
      </c>
      <c r="D344" s="329">
        <f t="shared" si="66"/>
        <v>10000</v>
      </c>
      <c r="E344" s="329">
        <f t="shared" si="66"/>
        <v>0</v>
      </c>
      <c r="F344" s="330"/>
    </row>
    <row r="345" spans="1:23" ht="13.5" thickBot="1" x14ac:dyDescent="0.25">
      <c r="A345" s="122" t="s">
        <v>183</v>
      </c>
      <c r="B345" s="113" t="s">
        <v>184</v>
      </c>
      <c r="C345" s="368">
        <v>10000</v>
      </c>
      <c r="D345" s="368">
        <v>10000</v>
      </c>
      <c r="E345" s="368">
        <v>0</v>
      </c>
      <c r="F345" s="204"/>
    </row>
    <row r="346" spans="1:23" s="101" customFormat="1" ht="13.5" thickTop="1" x14ac:dyDescent="0.2">
      <c r="A346" s="178"/>
      <c r="B346" s="179"/>
      <c r="C346" s="328"/>
      <c r="D346" s="311"/>
      <c r="E346" s="311"/>
      <c r="F346" s="205"/>
    </row>
    <row r="347" spans="1:23" s="149" customFormat="1" ht="16.5" customHeight="1" x14ac:dyDescent="0.2">
      <c r="A347" s="156" t="s">
        <v>352</v>
      </c>
      <c r="B347" s="127"/>
      <c r="C347" s="310"/>
      <c r="D347" s="310"/>
      <c r="E347" s="310"/>
      <c r="F347" s="200"/>
    </row>
    <row r="348" spans="1:23" s="149" customFormat="1" ht="16.5" customHeight="1" x14ac:dyDescent="0.2">
      <c r="A348" s="156" t="s">
        <v>353</v>
      </c>
      <c r="B348" s="127"/>
      <c r="C348" s="310"/>
      <c r="D348" s="310"/>
      <c r="E348" s="310"/>
      <c r="F348" s="200"/>
    </row>
    <row r="349" spans="1:23" s="149" customFormat="1" ht="12.75" customHeight="1" x14ac:dyDescent="0.2">
      <c r="A349" s="156"/>
      <c r="B349" s="127"/>
      <c r="C349" s="310"/>
      <c r="D349" s="310"/>
      <c r="E349" s="310"/>
      <c r="F349" s="200"/>
    </row>
    <row r="350" spans="1:23" s="96" customFormat="1" x14ac:dyDescent="0.2">
      <c r="A350" s="108" t="s">
        <v>335</v>
      </c>
      <c r="B350" s="93"/>
      <c r="C350" s="306"/>
      <c r="D350" s="306"/>
      <c r="E350" s="306"/>
      <c r="F350" s="182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</row>
    <row r="351" spans="1:23" s="96" customFormat="1" ht="13.5" thickBot="1" x14ac:dyDescent="0.25">
      <c r="A351" s="416"/>
      <c r="B351" s="416"/>
      <c r="C351" s="416"/>
      <c r="D351" s="416"/>
      <c r="E351" s="416"/>
      <c r="F351" s="416"/>
    </row>
    <row r="352" spans="1:23" s="96" customFormat="1" ht="39.75" thickTop="1" thickBot="1" x14ac:dyDescent="0.25">
      <c r="A352" s="114" t="s">
        <v>284</v>
      </c>
      <c r="B352" s="115" t="s">
        <v>244</v>
      </c>
      <c r="C352" s="115" t="s">
        <v>324</v>
      </c>
      <c r="D352" s="115" t="s">
        <v>325</v>
      </c>
      <c r="E352" s="115" t="s">
        <v>326</v>
      </c>
      <c r="F352" s="183" t="s">
        <v>245</v>
      </c>
    </row>
    <row r="353" spans="1:6" s="96" customFormat="1" ht="14.25" thickTop="1" thickBot="1" x14ac:dyDescent="0.25">
      <c r="A353" s="540">
        <v>1</v>
      </c>
      <c r="B353" s="541"/>
      <c r="C353" s="115">
        <v>2</v>
      </c>
      <c r="D353" s="115">
        <v>3</v>
      </c>
      <c r="E353" s="115">
        <v>4</v>
      </c>
      <c r="F353" s="183" t="s">
        <v>246</v>
      </c>
    </row>
    <row r="354" spans="1:6" s="101" customFormat="1" ht="13.5" thickTop="1" x14ac:dyDescent="0.2">
      <c r="A354" s="347">
        <v>3</v>
      </c>
      <c r="B354" s="131" t="s">
        <v>195</v>
      </c>
      <c r="C354" s="365">
        <f>C355+C384</f>
        <v>112360</v>
      </c>
      <c r="D354" s="365">
        <f t="shared" ref="D354:E354" si="67">D355+D384</f>
        <v>115671</v>
      </c>
      <c r="E354" s="365">
        <f t="shared" si="67"/>
        <v>56243.08</v>
      </c>
      <c r="F354" s="348">
        <f>E354/D354*100</f>
        <v>48.623319587450617</v>
      </c>
    </row>
    <row r="355" spans="1:6" s="40" customFormat="1" x14ac:dyDescent="0.2">
      <c r="A355" s="349" t="s">
        <v>197</v>
      </c>
      <c r="B355" s="139" t="s">
        <v>203</v>
      </c>
      <c r="C355" s="366">
        <f>C356+C360+C366+C376+C378</f>
        <v>109810</v>
      </c>
      <c r="D355" s="366">
        <f>D356+D360+D366+D376+D378</f>
        <v>113121</v>
      </c>
      <c r="E355" s="366">
        <f>E356+E360+E366+E376+E378</f>
        <v>54701.33</v>
      </c>
      <c r="F355" s="350">
        <f t="shared" ref="F355:F384" si="68">E355/D355*100</f>
        <v>48.356476693098543</v>
      </c>
    </row>
    <row r="356" spans="1:6" s="40" customFormat="1" x14ac:dyDescent="0.2">
      <c r="A356" s="223" t="s">
        <v>109</v>
      </c>
      <c r="B356" s="123" t="s">
        <v>110</v>
      </c>
      <c r="C356" s="367">
        <f>SUM(C357:C359)</f>
        <v>15800</v>
      </c>
      <c r="D356" s="367">
        <f>SUM(D357:D359)</f>
        <v>15800</v>
      </c>
      <c r="E356" s="367">
        <f>SUM(E357:E359)</f>
        <v>4208.18</v>
      </c>
      <c r="F356" s="330"/>
    </row>
    <row r="357" spans="1:6" s="40" customFormat="1" x14ac:dyDescent="0.2">
      <c r="A357" s="118" t="s">
        <v>111</v>
      </c>
      <c r="B357" s="124" t="s">
        <v>112</v>
      </c>
      <c r="C357" s="157">
        <v>13000</v>
      </c>
      <c r="D357" s="157">
        <v>13000</v>
      </c>
      <c r="E357" s="157">
        <v>3107.68</v>
      </c>
      <c r="F357" s="202"/>
    </row>
    <row r="358" spans="1:6" s="40" customFormat="1" x14ac:dyDescent="0.2">
      <c r="A358" s="118" t="s">
        <v>115</v>
      </c>
      <c r="B358" s="124" t="s">
        <v>116</v>
      </c>
      <c r="C358" s="157">
        <v>1500</v>
      </c>
      <c r="D358" s="157">
        <v>1500</v>
      </c>
      <c r="E358" s="157">
        <v>512.5</v>
      </c>
      <c r="F358" s="202"/>
    </row>
    <row r="359" spans="1:6" x14ac:dyDescent="0.2">
      <c r="A359" s="119" t="s">
        <v>177</v>
      </c>
      <c r="B359" s="110" t="s">
        <v>178</v>
      </c>
      <c r="C359" s="157">
        <v>1300</v>
      </c>
      <c r="D359" s="157">
        <v>1300</v>
      </c>
      <c r="E359" s="157">
        <v>588</v>
      </c>
      <c r="F359" s="203"/>
    </row>
    <row r="360" spans="1:6" x14ac:dyDescent="0.2">
      <c r="A360" s="121" t="s">
        <v>117</v>
      </c>
      <c r="B360" s="112" t="s">
        <v>118</v>
      </c>
      <c r="C360" s="158">
        <f>SUM(C361:C365)</f>
        <v>40300</v>
      </c>
      <c r="D360" s="158">
        <f>SUM(D361:D365)</f>
        <v>39649</v>
      </c>
      <c r="E360" s="158">
        <f>SUM(E361:E365)</f>
        <v>26674.18</v>
      </c>
      <c r="F360" s="201"/>
    </row>
    <row r="361" spans="1:6" x14ac:dyDescent="0.2">
      <c r="A361" s="119" t="s">
        <v>119</v>
      </c>
      <c r="B361" s="110" t="s">
        <v>120</v>
      </c>
      <c r="C361" s="157">
        <v>15350</v>
      </c>
      <c r="D361" s="157">
        <v>15350</v>
      </c>
      <c r="E361" s="157">
        <v>10534.88</v>
      </c>
      <c r="F361" s="203"/>
    </row>
    <row r="362" spans="1:6" x14ac:dyDescent="0.2">
      <c r="A362" s="119" t="s">
        <v>121</v>
      </c>
      <c r="B362" s="110" t="s">
        <v>122</v>
      </c>
      <c r="C362" s="157">
        <v>18900</v>
      </c>
      <c r="D362" s="157">
        <v>18249</v>
      </c>
      <c r="E362" s="157">
        <v>14514.6</v>
      </c>
      <c r="F362" s="203"/>
    </row>
    <row r="363" spans="1:6" x14ac:dyDescent="0.2">
      <c r="A363" s="119" t="s">
        <v>123</v>
      </c>
      <c r="B363" s="110" t="s">
        <v>124</v>
      </c>
      <c r="C363" s="157">
        <v>2950</v>
      </c>
      <c r="D363" s="157">
        <v>2950</v>
      </c>
      <c r="E363" s="157">
        <v>1068.21</v>
      </c>
      <c r="F363" s="203"/>
    </row>
    <row r="364" spans="1:6" x14ac:dyDescent="0.2">
      <c r="A364" s="119" t="s">
        <v>125</v>
      </c>
      <c r="B364" s="110" t="s">
        <v>126</v>
      </c>
      <c r="C364" s="157">
        <v>1800</v>
      </c>
      <c r="D364" s="157">
        <v>1800</v>
      </c>
      <c r="E364" s="157">
        <v>245</v>
      </c>
      <c r="F364" s="203"/>
    </row>
    <row r="365" spans="1:6" x14ac:dyDescent="0.2">
      <c r="A365" s="119" t="s">
        <v>127</v>
      </c>
      <c r="B365" s="110" t="s">
        <v>128</v>
      </c>
      <c r="C365" s="157">
        <v>1300</v>
      </c>
      <c r="D365" s="157">
        <v>1300</v>
      </c>
      <c r="E365" s="157">
        <v>311.49</v>
      </c>
      <c r="F365" s="203"/>
    </row>
    <row r="366" spans="1:6" x14ac:dyDescent="0.2">
      <c r="A366" s="121" t="s">
        <v>129</v>
      </c>
      <c r="B366" s="112" t="s">
        <v>130</v>
      </c>
      <c r="C366" s="158">
        <f>SUM(C367:C375)</f>
        <v>42370</v>
      </c>
      <c r="D366" s="158">
        <f>SUM(D367:D375)</f>
        <v>46081</v>
      </c>
      <c r="E366" s="158">
        <f>SUM(E367:E375)</f>
        <v>15061.079999999998</v>
      </c>
      <c r="F366" s="201"/>
    </row>
    <row r="367" spans="1:6" x14ac:dyDescent="0.2">
      <c r="A367" s="119" t="s">
        <v>131</v>
      </c>
      <c r="B367" s="110" t="s">
        <v>132</v>
      </c>
      <c r="C367" s="157">
        <v>4200</v>
      </c>
      <c r="D367" s="157">
        <v>4200</v>
      </c>
      <c r="E367" s="157">
        <v>1264.77</v>
      </c>
      <c r="F367" s="203"/>
    </row>
    <row r="368" spans="1:6" x14ac:dyDescent="0.2">
      <c r="A368" s="119" t="s">
        <v>133</v>
      </c>
      <c r="B368" s="110" t="s">
        <v>134</v>
      </c>
      <c r="C368" s="157">
        <v>14000</v>
      </c>
      <c r="D368" s="157">
        <v>17311</v>
      </c>
      <c r="E368" s="157">
        <v>4759.29</v>
      </c>
      <c r="F368" s="203"/>
    </row>
    <row r="369" spans="1:6" x14ac:dyDescent="0.2">
      <c r="A369" s="119" t="s">
        <v>135</v>
      </c>
      <c r="B369" s="110" t="s">
        <v>136</v>
      </c>
      <c r="C369" s="157">
        <v>290</v>
      </c>
      <c r="D369" s="157">
        <v>290</v>
      </c>
      <c r="E369" s="157">
        <v>39.69</v>
      </c>
      <c r="F369" s="203"/>
    </row>
    <row r="370" spans="1:6" x14ac:dyDescent="0.2">
      <c r="A370" s="119" t="s">
        <v>137</v>
      </c>
      <c r="B370" s="110" t="s">
        <v>138</v>
      </c>
      <c r="C370" s="157">
        <v>8240</v>
      </c>
      <c r="D370" s="157">
        <v>8240</v>
      </c>
      <c r="E370" s="157">
        <v>4825.3500000000004</v>
      </c>
      <c r="F370" s="203"/>
    </row>
    <row r="371" spans="1:6" x14ac:dyDescent="0.2">
      <c r="A371" s="119" t="s">
        <v>139</v>
      </c>
      <c r="B371" s="110" t="s">
        <v>140</v>
      </c>
      <c r="C371" s="157">
        <v>790</v>
      </c>
      <c r="D371" s="157">
        <v>790</v>
      </c>
      <c r="E371" s="157">
        <v>418.9</v>
      </c>
      <c r="F371" s="203"/>
    </row>
    <row r="372" spans="1:6" x14ac:dyDescent="0.2">
      <c r="A372" s="119" t="s">
        <v>141</v>
      </c>
      <c r="B372" s="110" t="s">
        <v>142</v>
      </c>
      <c r="C372" s="157">
        <v>4110</v>
      </c>
      <c r="D372" s="157">
        <v>4260</v>
      </c>
      <c r="E372" s="157">
        <v>211.9</v>
      </c>
      <c r="F372" s="203"/>
    </row>
    <row r="373" spans="1:6" x14ac:dyDescent="0.2">
      <c r="A373" s="119" t="s">
        <v>143</v>
      </c>
      <c r="B373" s="110" t="s">
        <v>144</v>
      </c>
      <c r="C373" s="157">
        <v>390</v>
      </c>
      <c r="D373" s="157">
        <v>2640</v>
      </c>
      <c r="E373" s="157">
        <v>445</v>
      </c>
      <c r="F373" s="203"/>
    </row>
    <row r="374" spans="1:6" x14ac:dyDescent="0.2">
      <c r="A374" s="119" t="s">
        <v>145</v>
      </c>
      <c r="B374" s="110" t="s">
        <v>146</v>
      </c>
      <c r="C374" s="157">
        <v>4080</v>
      </c>
      <c r="D374" s="157">
        <v>2080</v>
      </c>
      <c r="E374" s="157">
        <v>682.93</v>
      </c>
      <c r="F374" s="203"/>
    </row>
    <row r="375" spans="1:6" x14ac:dyDescent="0.2">
      <c r="A375" s="119" t="s">
        <v>147</v>
      </c>
      <c r="B375" s="110" t="s">
        <v>148</v>
      </c>
      <c r="C375" s="157">
        <v>6270</v>
      </c>
      <c r="D375" s="157">
        <v>6270</v>
      </c>
      <c r="E375" s="157">
        <v>2413.25</v>
      </c>
      <c r="F375" s="203"/>
    </row>
    <row r="376" spans="1:6" x14ac:dyDescent="0.2">
      <c r="A376" s="121" t="s">
        <v>149</v>
      </c>
      <c r="B376" s="112" t="s">
        <v>150</v>
      </c>
      <c r="C376" s="158">
        <f>C377</f>
        <v>60</v>
      </c>
      <c r="D376" s="158">
        <f>D377</f>
        <v>60</v>
      </c>
      <c r="E376" s="158">
        <f>E377</f>
        <v>0</v>
      </c>
      <c r="F376" s="201"/>
    </row>
    <row r="377" spans="1:6" x14ac:dyDescent="0.2">
      <c r="A377" s="119" t="s">
        <v>151</v>
      </c>
      <c r="B377" s="110" t="s">
        <v>150</v>
      </c>
      <c r="C377" s="157">
        <v>60</v>
      </c>
      <c r="D377" s="157">
        <v>60</v>
      </c>
      <c r="E377" s="157">
        <v>0</v>
      </c>
      <c r="F377" s="203"/>
    </row>
    <row r="378" spans="1:6" x14ac:dyDescent="0.2">
      <c r="A378" s="121" t="s">
        <v>152</v>
      </c>
      <c r="B378" s="112" t="s">
        <v>153</v>
      </c>
      <c r="C378" s="158">
        <f>SUM(C379:C383)</f>
        <v>11280</v>
      </c>
      <c r="D378" s="158">
        <f>SUM(D379:D383)</f>
        <v>11531</v>
      </c>
      <c r="E378" s="158">
        <f>SUM(E379:E383)</f>
        <v>8757.89</v>
      </c>
      <c r="F378" s="201"/>
    </row>
    <row r="379" spans="1:6" x14ac:dyDescent="0.2">
      <c r="A379" s="119" t="s">
        <v>154</v>
      </c>
      <c r="B379" s="110" t="s">
        <v>155</v>
      </c>
      <c r="C379" s="157">
        <v>6850</v>
      </c>
      <c r="D379" s="157">
        <v>7101</v>
      </c>
      <c r="E379" s="157">
        <v>7100.79</v>
      </c>
      <c r="F379" s="203"/>
    </row>
    <row r="380" spans="1:6" x14ac:dyDescent="0.2">
      <c r="A380" s="119" t="s">
        <v>156</v>
      </c>
      <c r="B380" s="110" t="s">
        <v>157</v>
      </c>
      <c r="C380" s="157">
        <v>1000</v>
      </c>
      <c r="D380" s="157">
        <v>1000</v>
      </c>
      <c r="E380" s="157">
        <v>0</v>
      </c>
      <c r="F380" s="203"/>
    </row>
    <row r="381" spans="1:6" x14ac:dyDescent="0.2">
      <c r="A381" s="119" t="s">
        <v>158</v>
      </c>
      <c r="B381" s="110" t="s">
        <v>159</v>
      </c>
      <c r="C381" s="157">
        <v>190</v>
      </c>
      <c r="D381" s="157">
        <v>190</v>
      </c>
      <c r="E381" s="157">
        <v>165</v>
      </c>
      <c r="F381" s="203"/>
    </row>
    <row r="382" spans="1:6" x14ac:dyDescent="0.2">
      <c r="A382" s="119" t="s">
        <v>160</v>
      </c>
      <c r="B382" s="110" t="s">
        <v>161</v>
      </c>
      <c r="C382" s="157">
        <v>240</v>
      </c>
      <c r="D382" s="157">
        <v>240</v>
      </c>
      <c r="E382" s="157">
        <v>146.9</v>
      </c>
      <c r="F382" s="203"/>
    </row>
    <row r="383" spans="1:6" x14ac:dyDescent="0.2">
      <c r="A383" s="137" t="s">
        <v>162</v>
      </c>
      <c r="B383" s="351" t="s">
        <v>153</v>
      </c>
      <c r="C383" s="358">
        <v>3000</v>
      </c>
      <c r="D383" s="358">
        <v>3000</v>
      </c>
      <c r="E383" s="358">
        <v>1345.2</v>
      </c>
      <c r="F383" s="352"/>
    </row>
    <row r="384" spans="1:6" x14ac:dyDescent="0.2">
      <c r="A384" s="349" t="s">
        <v>198</v>
      </c>
      <c r="B384" s="139" t="s">
        <v>204</v>
      </c>
      <c r="C384" s="357">
        <f t="shared" ref="C384:E385" si="69">C385</f>
        <v>2550</v>
      </c>
      <c r="D384" s="357">
        <f t="shared" si="69"/>
        <v>2550</v>
      </c>
      <c r="E384" s="357">
        <f t="shared" si="69"/>
        <v>1541.75</v>
      </c>
      <c r="F384" s="350">
        <f t="shared" si="68"/>
        <v>60.46078431372549</v>
      </c>
    </row>
    <row r="385" spans="1:23" x14ac:dyDescent="0.2">
      <c r="A385" s="223" t="s">
        <v>163</v>
      </c>
      <c r="B385" s="123" t="s">
        <v>164</v>
      </c>
      <c r="C385" s="329">
        <f t="shared" si="69"/>
        <v>2550</v>
      </c>
      <c r="D385" s="329">
        <f t="shared" si="69"/>
        <v>2550</v>
      </c>
      <c r="E385" s="329">
        <f t="shared" si="69"/>
        <v>1541.75</v>
      </c>
      <c r="F385" s="330"/>
    </row>
    <row r="386" spans="1:23" ht="13.5" thickBot="1" x14ac:dyDescent="0.25">
      <c r="A386" s="122" t="s">
        <v>165</v>
      </c>
      <c r="B386" s="113" t="s">
        <v>166</v>
      </c>
      <c r="C386" s="368">
        <v>2550</v>
      </c>
      <c r="D386" s="368">
        <v>2550</v>
      </c>
      <c r="E386" s="368">
        <v>1541.75</v>
      </c>
      <c r="F386" s="204"/>
    </row>
    <row r="387" spans="1:23" s="101" customFormat="1" ht="13.5" thickTop="1" x14ac:dyDescent="0.2">
      <c r="A387" s="178"/>
      <c r="B387" s="179"/>
      <c r="C387" s="311"/>
      <c r="D387" s="311"/>
      <c r="E387" s="311"/>
      <c r="F387" s="205"/>
    </row>
    <row r="388" spans="1:23" s="101" customFormat="1" x14ac:dyDescent="0.2">
      <c r="A388" s="108" t="s">
        <v>336</v>
      </c>
      <c r="B388" s="100"/>
      <c r="C388" s="306"/>
      <c r="D388" s="306"/>
      <c r="E388" s="306"/>
      <c r="F388" s="182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</row>
    <row r="389" spans="1:23" s="101" customFormat="1" ht="13.5" thickBot="1" x14ac:dyDescent="0.25">
      <c r="A389" s="416"/>
      <c r="B389" s="416"/>
      <c r="C389" s="416"/>
      <c r="D389" s="416"/>
      <c r="E389" s="416"/>
      <c r="F389" s="416"/>
    </row>
    <row r="390" spans="1:23" s="101" customFormat="1" ht="39.75" thickTop="1" thickBot="1" x14ac:dyDescent="0.25">
      <c r="A390" s="114" t="s">
        <v>284</v>
      </c>
      <c r="B390" s="115" t="s">
        <v>244</v>
      </c>
      <c r="C390" s="115" t="s">
        <v>324</v>
      </c>
      <c r="D390" s="115" t="s">
        <v>325</v>
      </c>
      <c r="E390" s="115" t="s">
        <v>326</v>
      </c>
      <c r="F390" s="183" t="s">
        <v>245</v>
      </c>
    </row>
    <row r="391" spans="1:23" s="101" customFormat="1" ht="14.25" thickTop="1" thickBot="1" x14ac:dyDescent="0.25">
      <c r="A391" s="540">
        <v>1</v>
      </c>
      <c r="B391" s="541"/>
      <c r="C391" s="115">
        <v>2</v>
      </c>
      <c r="D391" s="115">
        <v>3</v>
      </c>
      <c r="E391" s="115">
        <v>4</v>
      </c>
      <c r="F391" s="183" t="s">
        <v>246</v>
      </c>
    </row>
    <row r="392" spans="1:23" s="101" customFormat="1" ht="13.5" thickTop="1" x14ac:dyDescent="0.2">
      <c r="A392" s="347">
        <v>3</v>
      </c>
      <c r="B392" s="131" t="s">
        <v>195</v>
      </c>
      <c r="C392" s="365">
        <f>C393+C147</f>
        <v>5440</v>
      </c>
      <c r="D392" s="365">
        <f>D393+D147</f>
        <v>5440</v>
      </c>
      <c r="E392" s="365">
        <f>E393+E147</f>
        <v>3775.88</v>
      </c>
      <c r="F392" s="348">
        <f>E392/D392*100</f>
        <v>69.409558823529409</v>
      </c>
    </row>
    <row r="393" spans="1:23" s="40" customFormat="1" x14ac:dyDescent="0.2">
      <c r="A393" s="349" t="s">
        <v>197</v>
      </c>
      <c r="B393" s="139" t="s">
        <v>203</v>
      </c>
      <c r="C393" s="366">
        <f>C394</f>
        <v>5440</v>
      </c>
      <c r="D393" s="366">
        <f t="shared" ref="D393:F393" si="70">D394</f>
        <v>5440</v>
      </c>
      <c r="E393" s="366">
        <f t="shared" si="70"/>
        <v>3775.88</v>
      </c>
      <c r="F393" s="350">
        <f>E393/D393*100</f>
        <v>69.409558823529409</v>
      </c>
    </row>
    <row r="394" spans="1:23" s="101" customFormat="1" x14ac:dyDescent="0.2">
      <c r="A394" s="121" t="s">
        <v>117</v>
      </c>
      <c r="B394" s="112" t="s">
        <v>118</v>
      </c>
      <c r="C394" s="158">
        <f>SUM(C395:C395)</f>
        <v>5440</v>
      </c>
      <c r="D394" s="158">
        <f t="shared" ref="D394:F394" si="71">SUM(D395:D395)</f>
        <v>5440</v>
      </c>
      <c r="E394" s="158">
        <f t="shared" si="71"/>
        <v>3775.88</v>
      </c>
      <c r="F394" s="201">
        <f t="shared" si="71"/>
        <v>0</v>
      </c>
    </row>
    <row r="395" spans="1:23" s="101" customFormat="1" ht="13.5" thickBot="1" x14ac:dyDescent="0.25">
      <c r="A395" s="122" t="s">
        <v>121</v>
      </c>
      <c r="B395" s="113" t="s">
        <v>122</v>
      </c>
      <c r="C395" s="368">
        <v>5440</v>
      </c>
      <c r="D395" s="368">
        <v>5440</v>
      </c>
      <c r="E395" s="368">
        <v>3775.88</v>
      </c>
      <c r="F395" s="204"/>
    </row>
    <row r="396" spans="1:23" s="101" customFormat="1" ht="14.25" thickTop="1" thickBot="1" x14ac:dyDescent="0.25">
      <c r="A396" s="382"/>
      <c r="B396" s="383"/>
      <c r="C396" s="384"/>
      <c r="D396" s="384"/>
      <c r="E396" s="384"/>
      <c r="F396" s="385"/>
    </row>
    <row r="397" spans="1:23" ht="13.5" thickTop="1" x14ac:dyDescent="0.2">
      <c r="A397" s="347" t="s">
        <v>7</v>
      </c>
      <c r="B397" s="132" t="s">
        <v>207</v>
      </c>
      <c r="C397" s="356">
        <f t="shared" ref="C397:E397" si="72">C398</f>
        <v>5000</v>
      </c>
      <c r="D397" s="356">
        <f t="shared" si="72"/>
        <v>5000</v>
      </c>
      <c r="E397" s="356">
        <f t="shared" si="72"/>
        <v>2006.63</v>
      </c>
      <c r="F397" s="348">
        <f>E397/D397*100</f>
        <v>40.132600000000004</v>
      </c>
    </row>
    <row r="398" spans="1:23" x14ac:dyDescent="0.2">
      <c r="A398" s="349" t="s">
        <v>201</v>
      </c>
      <c r="B398" s="139" t="s">
        <v>208</v>
      </c>
      <c r="C398" s="357">
        <f>C399+C402</f>
        <v>5000</v>
      </c>
      <c r="D398" s="357">
        <f t="shared" ref="D398:F398" si="73">D399+D402</f>
        <v>5000</v>
      </c>
      <c r="E398" s="357">
        <f t="shared" si="73"/>
        <v>2006.63</v>
      </c>
      <c r="F398" s="350">
        <f>E398/D398*100</f>
        <v>40.132600000000004</v>
      </c>
    </row>
    <row r="399" spans="1:23" x14ac:dyDescent="0.2">
      <c r="A399" s="223" t="s">
        <v>169</v>
      </c>
      <c r="B399" s="123" t="s">
        <v>170</v>
      </c>
      <c r="C399" s="329">
        <f>SUM(C400:C401)</f>
        <v>4000</v>
      </c>
      <c r="D399" s="329">
        <f t="shared" ref="D399:E399" si="74">SUM(D400:D401)</f>
        <v>4000</v>
      </c>
      <c r="E399" s="329">
        <f t="shared" si="74"/>
        <v>2006.63</v>
      </c>
      <c r="F399" s="330">
        <f>SUM(F400:F401)</f>
        <v>0</v>
      </c>
    </row>
    <row r="400" spans="1:23" x14ac:dyDescent="0.2">
      <c r="A400" s="119" t="s">
        <v>171</v>
      </c>
      <c r="B400" s="110" t="s">
        <v>172</v>
      </c>
      <c r="C400" s="157">
        <v>4000</v>
      </c>
      <c r="D400" s="157">
        <v>1300</v>
      </c>
      <c r="E400" s="157">
        <v>0</v>
      </c>
      <c r="F400" s="203"/>
    </row>
    <row r="401" spans="1:23" s="40" customFormat="1" ht="13.5" thickBot="1" x14ac:dyDescent="0.25">
      <c r="A401" s="232" t="s">
        <v>173</v>
      </c>
      <c r="B401" s="397" t="s">
        <v>174</v>
      </c>
      <c r="C401" s="368">
        <v>0</v>
      </c>
      <c r="D401" s="368">
        <v>2700</v>
      </c>
      <c r="E401" s="368">
        <v>2006.63</v>
      </c>
      <c r="F401" s="399"/>
    </row>
    <row r="402" spans="1:23" ht="13.5" thickTop="1" x14ac:dyDescent="0.2">
      <c r="A402" s="223" t="s">
        <v>181</v>
      </c>
      <c r="B402" s="123" t="s">
        <v>182</v>
      </c>
      <c r="C402" s="329">
        <f>C403</f>
        <v>1000</v>
      </c>
      <c r="D402" s="329">
        <f>D403</f>
        <v>1000</v>
      </c>
      <c r="E402" s="329">
        <f>E403</f>
        <v>0</v>
      </c>
      <c r="F402" s="330"/>
    </row>
    <row r="403" spans="1:23" ht="13.5" thickBot="1" x14ac:dyDescent="0.25">
      <c r="A403" s="122" t="s">
        <v>183</v>
      </c>
      <c r="B403" s="113" t="s">
        <v>184</v>
      </c>
      <c r="C403" s="368">
        <v>1000</v>
      </c>
      <c r="D403" s="368">
        <v>1000</v>
      </c>
      <c r="E403" s="368">
        <v>0</v>
      </c>
      <c r="F403" s="204"/>
    </row>
    <row r="404" spans="1:23" s="101" customFormat="1" ht="13.5" thickTop="1" x14ac:dyDescent="0.2">
      <c r="A404" s="178"/>
      <c r="B404" s="179"/>
      <c r="C404" s="311"/>
      <c r="D404" s="311"/>
      <c r="E404" s="311"/>
      <c r="F404" s="205"/>
    </row>
    <row r="405" spans="1:23" s="149" customFormat="1" ht="16.5" customHeight="1" x14ac:dyDescent="0.2">
      <c r="A405" s="156" t="s">
        <v>358</v>
      </c>
      <c r="B405" s="327"/>
      <c r="C405" s="310"/>
      <c r="D405" s="310"/>
      <c r="E405" s="310"/>
      <c r="F405" s="200"/>
    </row>
    <row r="406" spans="1:23" s="149" customFormat="1" ht="16.5" customHeight="1" x14ac:dyDescent="0.2">
      <c r="A406" s="156"/>
      <c r="B406" s="327"/>
      <c r="C406" s="310"/>
      <c r="D406" s="310"/>
      <c r="E406" s="310"/>
      <c r="F406" s="200"/>
    </row>
    <row r="407" spans="1:23" s="101" customFormat="1" x14ac:dyDescent="0.2">
      <c r="A407" s="108" t="s">
        <v>328</v>
      </c>
      <c r="B407" s="331"/>
      <c r="C407" s="306"/>
      <c r="D407" s="306"/>
      <c r="E407" s="306"/>
      <c r="F407" s="182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</row>
    <row r="408" spans="1:23" s="101" customFormat="1" ht="13.5" thickBot="1" x14ac:dyDescent="0.25">
      <c r="A408" s="416"/>
      <c r="B408" s="416"/>
      <c r="C408" s="416"/>
      <c r="D408" s="416"/>
      <c r="E408" s="416"/>
      <c r="F408" s="416"/>
    </row>
    <row r="409" spans="1:23" s="101" customFormat="1" ht="39.75" thickTop="1" thickBot="1" x14ac:dyDescent="0.25">
      <c r="A409" s="114" t="s">
        <v>284</v>
      </c>
      <c r="B409" s="115" t="s">
        <v>244</v>
      </c>
      <c r="C409" s="115" t="s">
        <v>324</v>
      </c>
      <c r="D409" s="115" t="s">
        <v>325</v>
      </c>
      <c r="E409" s="115" t="s">
        <v>326</v>
      </c>
      <c r="F409" s="183" t="s">
        <v>245</v>
      </c>
    </row>
    <row r="410" spans="1:23" s="101" customFormat="1" ht="14.25" thickTop="1" thickBot="1" x14ac:dyDescent="0.25">
      <c r="A410" s="540">
        <v>1</v>
      </c>
      <c r="B410" s="541"/>
      <c r="C410" s="115">
        <v>2</v>
      </c>
      <c r="D410" s="115">
        <v>3</v>
      </c>
      <c r="E410" s="115">
        <v>4</v>
      </c>
      <c r="F410" s="183" t="s">
        <v>246</v>
      </c>
    </row>
    <row r="411" spans="1:23" s="101" customFormat="1" ht="13.5" thickTop="1" x14ac:dyDescent="0.2">
      <c r="A411" s="347" t="s">
        <v>6</v>
      </c>
      <c r="B411" s="132" t="s">
        <v>195</v>
      </c>
      <c r="C411" s="356">
        <f>C412</f>
        <v>6080</v>
      </c>
      <c r="D411" s="356">
        <f t="shared" ref="D411:F411" si="75">D412</f>
        <v>6080</v>
      </c>
      <c r="E411" s="356">
        <f t="shared" si="75"/>
        <v>0</v>
      </c>
      <c r="F411" s="348">
        <f>E411/D411*100</f>
        <v>0</v>
      </c>
    </row>
    <row r="412" spans="1:23" s="101" customFormat="1" x14ac:dyDescent="0.2">
      <c r="A412" s="349" t="s">
        <v>196</v>
      </c>
      <c r="B412" s="139" t="s">
        <v>202</v>
      </c>
      <c r="C412" s="357">
        <f>C413</f>
        <v>6080</v>
      </c>
      <c r="D412" s="357">
        <f t="shared" ref="D412:F412" si="76">D413</f>
        <v>6080</v>
      </c>
      <c r="E412" s="357">
        <f t="shared" si="76"/>
        <v>0</v>
      </c>
      <c r="F412" s="350">
        <f>E412/D412*100</f>
        <v>0</v>
      </c>
    </row>
    <row r="413" spans="1:23" s="101" customFormat="1" x14ac:dyDescent="0.2">
      <c r="A413" s="223" t="s">
        <v>96</v>
      </c>
      <c r="B413" s="123" t="s">
        <v>97</v>
      </c>
      <c r="C413" s="329">
        <f>SUM(C414:C414)</f>
        <v>6080</v>
      </c>
      <c r="D413" s="329">
        <f>SUM(D414:D414)</f>
        <v>6080</v>
      </c>
      <c r="E413" s="329">
        <f>SUM(E414:E414)</f>
        <v>0</v>
      </c>
      <c r="F413" s="330"/>
    </row>
    <row r="414" spans="1:23" s="101" customFormat="1" ht="13.5" thickBot="1" x14ac:dyDescent="0.25">
      <c r="A414" s="122" t="s">
        <v>98</v>
      </c>
      <c r="B414" s="113" t="s">
        <v>99</v>
      </c>
      <c r="C414" s="368">
        <v>6080</v>
      </c>
      <c r="D414" s="368">
        <v>6080</v>
      </c>
      <c r="E414" s="368">
        <v>0</v>
      </c>
      <c r="F414" s="204"/>
    </row>
    <row r="415" spans="1:23" s="101" customFormat="1" ht="13.5" thickTop="1" x14ac:dyDescent="0.2">
      <c r="A415" s="178"/>
      <c r="B415" s="179"/>
      <c r="C415" s="311"/>
      <c r="D415" s="311"/>
      <c r="E415" s="311"/>
      <c r="F415" s="205"/>
    </row>
    <row r="416" spans="1:23" s="101" customFormat="1" x14ac:dyDescent="0.2">
      <c r="A416" s="108" t="s">
        <v>367</v>
      </c>
      <c r="B416" s="325"/>
      <c r="C416" s="306"/>
      <c r="D416" s="306"/>
      <c r="E416" s="306"/>
      <c r="F416" s="182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</row>
    <row r="417" spans="1:6" s="101" customFormat="1" ht="13.5" thickBot="1" x14ac:dyDescent="0.25">
      <c r="A417" s="416"/>
      <c r="B417" s="416"/>
      <c r="C417" s="416"/>
      <c r="D417" s="416"/>
      <c r="E417" s="416"/>
      <c r="F417" s="416"/>
    </row>
    <row r="418" spans="1:6" s="101" customFormat="1" ht="39.75" thickTop="1" thickBot="1" x14ac:dyDescent="0.25">
      <c r="A418" s="114" t="s">
        <v>284</v>
      </c>
      <c r="B418" s="115" t="s">
        <v>244</v>
      </c>
      <c r="C418" s="115" t="s">
        <v>324</v>
      </c>
      <c r="D418" s="115" t="s">
        <v>325</v>
      </c>
      <c r="E418" s="115" t="s">
        <v>326</v>
      </c>
      <c r="F418" s="183" t="s">
        <v>245</v>
      </c>
    </row>
    <row r="419" spans="1:6" s="101" customFormat="1" ht="14.25" thickTop="1" thickBot="1" x14ac:dyDescent="0.25">
      <c r="A419" s="540">
        <v>1</v>
      </c>
      <c r="B419" s="541"/>
      <c r="C419" s="115">
        <v>2</v>
      </c>
      <c r="D419" s="115">
        <v>3</v>
      </c>
      <c r="E419" s="115">
        <v>4</v>
      </c>
      <c r="F419" s="183" t="s">
        <v>246</v>
      </c>
    </row>
    <row r="420" spans="1:6" s="101" customFormat="1" ht="13.5" thickTop="1" x14ac:dyDescent="0.2">
      <c r="A420" s="347" t="s">
        <v>6</v>
      </c>
      <c r="B420" s="132" t="s">
        <v>195</v>
      </c>
      <c r="C420" s="356">
        <f>C421+C428</f>
        <v>60000</v>
      </c>
      <c r="D420" s="356">
        <f t="shared" ref="D420:E420" si="77">D421+D428</f>
        <v>60000</v>
      </c>
      <c r="E420" s="356">
        <f t="shared" si="77"/>
        <v>33449.71</v>
      </c>
      <c r="F420" s="348">
        <f t="shared" ref="F420:F428" si="78">E420/D420*100</f>
        <v>55.749516666666665</v>
      </c>
    </row>
    <row r="421" spans="1:6" s="101" customFormat="1" x14ac:dyDescent="0.2">
      <c r="A421" s="349" t="s">
        <v>196</v>
      </c>
      <c r="B421" s="139" t="s">
        <v>202</v>
      </c>
      <c r="C421" s="357">
        <f>C422+C424+C426</f>
        <v>55500</v>
      </c>
      <c r="D421" s="357">
        <f>D422+D424+D426</f>
        <v>55500</v>
      </c>
      <c r="E421" s="357">
        <f>E422+E424+E426</f>
        <v>31067.56</v>
      </c>
      <c r="F421" s="350">
        <f t="shared" si="78"/>
        <v>55.977585585585587</v>
      </c>
    </row>
    <row r="422" spans="1:6" s="101" customFormat="1" x14ac:dyDescent="0.2">
      <c r="A422" s="223" t="s">
        <v>96</v>
      </c>
      <c r="B422" s="123" t="s">
        <v>97</v>
      </c>
      <c r="C422" s="329">
        <f>SUM(C423:C423)</f>
        <v>43300</v>
      </c>
      <c r="D422" s="329">
        <f>SUM(D423:D423)</f>
        <v>43300</v>
      </c>
      <c r="E422" s="329">
        <f>SUM(E423:E423)</f>
        <v>24950.63</v>
      </c>
      <c r="F422" s="330"/>
    </row>
    <row r="423" spans="1:6" s="101" customFormat="1" x14ac:dyDescent="0.2">
      <c r="A423" s="119" t="s">
        <v>98</v>
      </c>
      <c r="B423" s="110" t="s">
        <v>99</v>
      </c>
      <c r="C423" s="157">
        <v>43300</v>
      </c>
      <c r="D423" s="157">
        <v>43300</v>
      </c>
      <c r="E423" s="157">
        <v>24950.63</v>
      </c>
      <c r="F423" s="203"/>
    </row>
    <row r="424" spans="1:6" s="101" customFormat="1" x14ac:dyDescent="0.2">
      <c r="A424" s="121" t="s">
        <v>102</v>
      </c>
      <c r="B424" s="112" t="s">
        <v>103</v>
      </c>
      <c r="C424" s="158">
        <f>C425</f>
        <v>4000</v>
      </c>
      <c r="D424" s="158">
        <f>D425</f>
        <v>4000</v>
      </c>
      <c r="E424" s="158">
        <f>E425</f>
        <v>2000</v>
      </c>
      <c r="F424" s="201"/>
    </row>
    <row r="425" spans="1:6" s="101" customFormat="1" x14ac:dyDescent="0.2">
      <c r="A425" s="119" t="s">
        <v>104</v>
      </c>
      <c r="B425" s="110" t="s">
        <v>103</v>
      </c>
      <c r="C425" s="157">
        <v>4000</v>
      </c>
      <c r="D425" s="157">
        <v>4000</v>
      </c>
      <c r="E425" s="157">
        <v>2000</v>
      </c>
      <c r="F425" s="203"/>
    </row>
    <row r="426" spans="1:6" s="101" customFormat="1" x14ac:dyDescent="0.2">
      <c r="A426" s="121" t="s">
        <v>105</v>
      </c>
      <c r="B426" s="112" t="s">
        <v>106</v>
      </c>
      <c r="C426" s="158">
        <f>C427</f>
        <v>8200</v>
      </c>
      <c r="D426" s="158">
        <f t="shared" ref="D426:E426" si="79">D427</f>
        <v>8200</v>
      </c>
      <c r="E426" s="158">
        <f t="shared" si="79"/>
        <v>4116.93</v>
      </c>
      <c r="F426" s="201"/>
    </row>
    <row r="427" spans="1:6" s="101" customFormat="1" x14ac:dyDescent="0.2">
      <c r="A427" s="137" t="s">
        <v>107</v>
      </c>
      <c r="B427" s="351" t="s">
        <v>108</v>
      </c>
      <c r="C427" s="358">
        <v>8200</v>
      </c>
      <c r="D427" s="358">
        <v>8200</v>
      </c>
      <c r="E427" s="358">
        <v>4116.93</v>
      </c>
      <c r="F427" s="352"/>
    </row>
    <row r="428" spans="1:6" s="101" customFormat="1" x14ac:dyDescent="0.2">
      <c r="A428" s="349" t="s">
        <v>197</v>
      </c>
      <c r="B428" s="139" t="s">
        <v>203</v>
      </c>
      <c r="C428" s="357">
        <f>C429</f>
        <v>4500</v>
      </c>
      <c r="D428" s="357">
        <f t="shared" ref="D428:E428" si="80">D429</f>
        <v>4500</v>
      </c>
      <c r="E428" s="357">
        <f t="shared" si="80"/>
        <v>2382.15</v>
      </c>
      <c r="F428" s="350">
        <f t="shared" si="78"/>
        <v>52.936666666666667</v>
      </c>
    </row>
    <row r="429" spans="1:6" s="101" customFormat="1" x14ac:dyDescent="0.2">
      <c r="A429" s="223" t="s">
        <v>109</v>
      </c>
      <c r="B429" s="123" t="s">
        <v>110</v>
      </c>
      <c r="C429" s="329">
        <f>SUM(C430:C431)</f>
        <v>4500</v>
      </c>
      <c r="D429" s="329">
        <f t="shared" ref="D429:E429" si="81">SUM(D430:D431)</f>
        <v>4500</v>
      </c>
      <c r="E429" s="329">
        <f t="shared" si="81"/>
        <v>2382.15</v>
      </c>
      <c r="F429" s="330"/>
    </row>
    <row r="430" spans="1:6" s="101" customFormat="1" x14ac:dyDescent="0.2">
      <c r="A430" s="119" t="s">
        <v>111</v>
      </c>
      <c r="B430" s="110" t="s">
        <v>112</v>
      </c>
      <c r="C430" s="157">
        <v>300</v>
      </c>
      <c r="D430" s="157">
        <v>300</v>
      </c>
      <c r="E430" s="157">
        <v>180</v>
      </c>
      <c r="F430" s="203"/>
    </row>
    <row r="431" spans="1:6" s="101" customFormat="1" ht="13.5" thickBot="1" x14ac:dyDescent="0.25">
      <c r="A431" s="119" t="s">
        <v>113</v>
      </c>
      <c r="B431" s="110" t="s">
        <v>114</v>
      </c>
      <c r="C431" s="157">
        <v>4200</v>
      </c>
      <c r="D431" s="157">
        <v>4200</v>
      </c>
      <c r="E431" s="157">
        <v>2202.15</v>
      </c>
      <c r="F431" s="203"/>
    </row>
    <row r="432" spans="1:6" s="149" customFormat="1" ht="16.5" customHeight="1" thickTop="1" thickBot="1" x14ac:dyDescent="0.25">
      <c r="A432" s="277"/>
      <c r="B432" s="278" t="s">
        <v>306</v>
      </c>
      <c r="C432" s="410">
        <f>C151+C173+C197+C220+C228+C237+C259+C270+C290+C309+C323+C342+C354+C392+C397+C411+C420</f>
        <v>2406235</v>
      </c>
      <c r="D432" s="410">
        <f t="shared" ref="D432:E432" si="82">D151+D173+D197+D220+D228+D237+D259+D270+D290+D309+D323+D342+D354+D392+D397+D411+D420</f>
        <v>2434821</v>
      </c>
      <c r="E432" s="410">
        <f t="shared" si="82"/>
        <v>1245080.2799999998</v>
      </c>
      <c r="F432" s="279">
        <f t="shared" ref="F432" si="83">E432/D432*100</f>
        <v>51.136419473957218</v>
      </c>
    </row>
    <row r="433" spans="1:6" ht="13.5" thickTop="1" x14ac:dyDescent="0.2"/>
    <row r="435" spans="1:6" s="389" customFormat="1" ht="12.75" customHeight="1" x14ac:dyDescent="0.2">
      <c r="A435" s="386"/>
      <c r="B435" s="387"/>
      <c r="C435" s="387"/>
      <c r="D435" s="387"/>
      <c r="E435" s="387"/>
      <c r="F435" s="388"/>
    </row>
  </sheetData>
  <mergeCells count="73">
    <mergeCell ref="A20:B20"/>
    <mergeCell ref="A23:F23"/>
    <mergeCell ref="A25:B25"/>
    <mergeCell ref="A32:B32"/>
    <mergeCell ref="A122:F122"/>
    <mergeCell ref="A87:B87"/>
    <mergeCell ref="A68:B68"/>
    <mergeCell ref="A81:F81"/>
    <mergeCell ref="A83:B83"/>
    <mergeCell ref="A35:F35"/>
    <mergeCell ref="A57:B57"/>
    <mergeCell ref="A71:F71"/>
    <mergeCell ref="A73:B73"/>
    <mergeCell ref="A78:B78"/>
    <mergeCell ref="A47:B47"/>
    <mergeCell ref="A50:F50"/>
    <mergeCell ref="A219:B219"/>
    <mergeCell ref="A90:F90"/>
    <mergeCell ref="A92:B92"/>
    <mergeCell ref="A97:B97"/>
    <mergeCell ref="A112:F112"/>
    <mergeCell ref="A114:B114"/>
    <mergeCell ref="A124:B124"/>
    <mergeCell ref="A128:B128"/>
    <mergeCell ref="A234:F234"/>
    <mergeCell ref="A5:W5"/>
    <mergeCell ref="A389:F389"/>
    <mergeCell ref="A391:B391"/>
    <mergeCell ref="A6:F6"/>
    <mergeCell ref="A7:F7"/>
    <mergeCell ref="A8:F8"/>
    <mergeCell ref="A9:F9"/>
    <mergeCell ref="A16:B16"/>
    <mergeCell ref="A11:F11"/>
    <mergeCell ref="A14:F14"/>
    <mergeCell ref="A37:B37"/>
    <mergeCell ref="A60:F60"/>
    <mergeCell ref="A62:B62"/>
    <mergeCell ref="A227:B227"/>
    <mergeCell ref="A320:F320"/>
    <mergeCell ref="A52:B52"/>
    <mergeCell ref="A109:B109"/>
    <mergeCell ref="A100:F100"/>
    <mergeCell ref="A102:B102"/>
    <mergeCell ref="A106:B106"/>
    <mergeCell ref="A417:F417"/>
    <mergeCell ref="A269:B269"/>
    <mergeCell ref="A236:B236"/>
    <mergeCell ref="A287:F287"/>
    <mergeCell ref="A289:B289"/>
    <mergeCell ref="A306:F306"/>
    <mergeCell ref="A308:B308"/>
    <mergeCell ref="A256:F256"/>
    <mergeCell ref="A258:B258"/>
    <mergeCell ref="A408:F408"/>
    <mergeCell ref="A410:B410"/>
    <mergeCell ref="A322:B322"/>
    <mergeCell ref="A419:B419"/>
    <mergeCell ref="A351:F351"/>
    <mergeCell ref="A353:B353"/>
    <mergeCell ref="A119:B119"/>
    <mergeCell ref="A131:F131"/>
    <mergeCell ref="A133:B133"/>
    <mergeCell ref="A137:B137"/>
    <mergeCell ref="A142:F142"/>
    <mergeCell ref="A148:F148"/>
    <mergeCell ref="A150:B150"/>
    <mergeCell ref="A170:F170"/>
    <mergeCell ref="A172:B172"/>
    <mergeCell ref="A194:F194"/>
    <mergeCell ref="A196:B196"/>
    <mergeCell ref="A217:F217"/>
    <mergeCell ref="A267:F267"/>
  </mergeCells>
  <pageMargins left="0.51181102362204722" right="0.51181102362204722" top="0.59055118110236227" bottom="0.39370078740157483" header="0.31496062992125984" footer="0.31496062992125984"/>
  <pageSetup paperSize="9" scale="79" fitToHeight="0" orientation="landscape" r:id="rId1"/>
  <rowBreaks count="9" manualBreakCount="9">
    <brk id="40" max="5" man="1"/>
    <brk id="79" max="5" man="1"/>
    <brk id="119" max="5" man="1"/>
    <brk id="159" max="5" man="1"/>
    <brk id="205" max="5" man="1"/>
    <brk id="253" max="5" man="1"/>
    <brk id="298" max="5" man="1"/>
    <brk id="343" max="5" man="1"/>
    <brk id="39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Izvještaj o izvr.proračuna OPĆI</vt:lpstr>
      <vt:lpstr>Prihodi i rashodi prema ekonoms</vt:lpstr>
      <vt:lpstr>Prihodi i rashodi prema izvorim</vt:lpstr>
      <vt:lpstr>Izvještaj po funkcijskoj klasif</vt:lpstr>
      <vt:lpstr>Račun financiranja prema ekonom</vt:lpstr>
      <vt:lpstr>Račun financiranja prema izvori</vt:lpstr>
      <vt:lpstr>Izvještaj po programskoj k</vt:lpstr>
      <vt:lpstr>List1</vt:lpstr>
      <vt:lpstr>'Izvještaj po programskoj 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soukup</dc:creator>
  <cp:lastModifiedBy>Racunovodstvo</cp:lastModifiedBy>
  <cp:lastPrinted>2026-07-16T12:38:26Z</cp:lastPrinted>
  <dcterms:created xsi:type="dcterms:W3CDTF">2021-08-04T11:54:14Z</dcterms:created>
  <dcterms:modified xsi:type="dcterms:W3CDTF">2026-07-21T08:49:29Z</dcterms:modified>
</cp:coreProperties>
</file>