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lidija_pecko_skole_hr/Documents/2025 2026/IZVJEŠĆA/"/>
    </mc:Choice>
  </mc:AlternateContent>
  <xr:revisionPtr revIDLastSave="0" documentId="8_{8028C04B-2FC6-4AD0-A1EE-5E1F0B8263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zvještaj o izvr.proračuna OPĆI" sheetId="1" r:id="rId1"/>
    <sheet name="Prihodi i rashodi prema ekonoms" sheetId="2" r:id="rId2"/>
    <sheet name="Prihodi i rashodi prema izvorim" sheetId="3" r:id="rId3"/>
    <sheet name="Izvještaj po funkcijskoj klasif" sheetId="13" r:id="rId4"/>
    <sheet name="Račun financiranja prema ekonom" sheetId="14" r:id="rId5"/>
    <sheet name="Račun financiranja prema izvori" sheetId="15" r:id="rId6"/>
    <sheet name="Izvještaj po programskoj k" sheetId="11" r:id="rId7"/>
    <sheet name="List1" sheetId="12" r:id="rId8"/>
  </sheets>
  <definedNames>
    <definedName name="_xlnm.Print_Area" localSheetId="6">'Izvještaj po programskoj k'!$A$1:$F$457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11" i="2" l="1"/>
  <c r="D107" i="2"/>
  <c r="D98" i="2"/>
  <c r="D95" i="2"/>
  <c r="D92" i="2"/>
  <c r="D89" i="2"/>
  <c r="D86" i="2" l="1"/>
  <c r="D84" i="2"/>
  <c r="D82" i="2"/>
  <c r="D81" i="2"/>
  <c r="D77" i="2"/>
  <c r="D76" i="2"/>
  <c r="D74" i="2"/>
  <c r="D73" i="2"/>
  <c r="D72" i="2"/>
  <c r="D71" i="2"/>
  <c r="D70" i="2"/>
  <c r="D69" i="2"/>
  <c r="D66" i="2"/>
  <c r="D65" i="2"/>
  <c r="D64" i="2"/>
  <c r="D61" i="2"/>
  <c r="D59" i="2"/>
  <c r="D57" i="2"/>
  <c r="D56" i="2"/>
  <c r="D55" i="2"/>
  <c r="C77" i="2"/>
  <c r="C65" i="2"/>
  <c r="C64" i="2"/>
  <c r="C61" i="2"/>
  <c r="C59" i="2"/>
  <c r="C111" i="2"/>
  <c r="C110" i="2"/>
  <c r="C107" i="2"/>
  <c r="C92" i="2"/>
  <c r="C89" i="2"/>
  <c r="C84" i="2"/>
  <c r="C82" i="2"/>
  <c r="C76" i="2"/>
  <c r="C74" i="2"/>
  <c r="C73" i="2"/>
  <c r="C72" i="2"/>
  <c r="C71" i="2"/>
  <c r="C70" i="2"/>
  <c r="C69" i="2"/>
  <c r="C55" i="2"/>
  <c r="D42" i="2"/>
  <c r="D43" i="2"/>
  <c r="C43" i="2"/>
  <c r="C42" i="2"/>
  <c r="S41" i="3"/>
  <c r="S47" i="3"/>
  <c r="Q47" i="3"/>
  <c r="S45" i="3"/>
  <c r="O45" i="3"/>
  <c r="S44" i="3"/>
  <c r="Q44" i="3"/>
  <c r="O44" i="3"/>
  <c r="S42" i="3"/>
  <c r="O42" i="3"/>
  <c r="S35" i="3"/>
  <c r="Q35" i="3"/>
  <c r="O35" i="3"/>
  <c r="E410" i="11" l="1"/>
  <c r="D410" i="11"/>
  <c r="D409" i="11" s="1"/>
  <c r="D408" i="11" s="1"/>
  <c r="C410" i="11"/>
  <c r="C409" i="11" s="1"/>
  <c r="C408" i="11" s="1"/>
  <c r="E409" i="11"/>
  <c r="E399" i="11"/>
  <c r="D399" i="11"/>
  <c r="D398" i="11" s="1"/>
  <c r="D397" i="11" s="1"/>
  <c r="C399" i="11"/>
  <c r="C398" i="11" s="1"/>
  <c r="C397" i="11" s="1"/>
  <c r="E398" i="11"/>
  <c r="E397" i="11" s="1"/>
  <c r="E315" i="11"/>
  <c r="D315" i="11"/>
  <c r="C315" i="11"/>
  <c r="E312" i="11"/>
  <c r="E291" i="11"/>
  <c r="D291" i="11"/>
  <c r="C291" i="11"/>
  <c r="E261" i="11"/>
  <c r="D261" i="11"/>
  <c r="C261" i="11"/>
  <c r="C221" i="11"/>
  <c r="E221" i="11"/>
  <c r="D221" i="11"/>
  <c r="F409" i="11" l="1"/>
  <c r="E408" i="11"/>
  <c r="F408" i="11" s="1"/>
  <c r="F398" i="11"/>
  <c r="F397" i="11"/>
  <c r="D29" i="11" l="1"/>
  <c r="C29" i="11"/>
  <c r="E113" i="11"/>
  <c r="D113" i="11"/>
  <c r="C113" i="11"/>
  <c r="E252" i="11" l="1"/>
  <c r="D252" i="11"/>
  <c r="E351" i="11"/>
  <c r="D351" i="11"/>
  <c r="C351" i="11"/>
  <c r="E239" i="11"/>
  <c r="D239" i="11"/>
  <c r="C239" i="11"/>
  <c r="D243" i="11"/>
  <c r="D312" i="11" l="1"/>
  <c r="E310" i="11"/>
  <c r="E309" i="11" s="1"/>
  <c r="D310" i="11"/>
  <c r="E307" i="11"/>
  <c r="E306" i="11" s="1"/>
  <c r="D307" i="11"/>
  <c r="D306" i="11" s="1"/>
  <c r="C312" i="11"/>
  <c r="C310" i="11"/>
  <c r="C309" i="11" s="1"/>
  <c r="C307" i="11"/>
  <c r="C306" i="11" s="1"/>
  <c r="D309" i="11" l="1"/>
  <c r="E305" i="11"/>
  <c r="C305" i="11"/>
  <c r="D305" i="11"/>
  <c r="F306" i="11"/>
  <c r="E437" i="11" l="1"/>
  <c r="E436" i="11" s="1"/>
  <c r="D437" i="11"/>
  <c r="D436" i="11" s="1"/>
  <c r="C437" i="11"/>
  <c r="C436" i="11" s="1"/>
  <c r="E434" i="11"/>
  <c r="D434" i="11"/>
  <c r="C434" i="11"/>
  <c r="E432" i="11"/>
  <c r="D432" i="11"/>
  <c r="C432" i="11"/>
  <c r="E430" i="11"/>
  <c r="D430" i="11"/>
  <c r="C430" i="11"/>
  <c r="E243" i="11"/>
  <c r="C243" i="11"/>
  <c r="C20" i="11"/>
  <c r="C19" i="11"/>
  <c r="C72" i="11"/>
  <c r="E429" i="11" l="1"/>
  <c r="F436" i="11"/>
  <c r="C429" i="11"/>
  <c r="C428" i="11" s="1"/>
  <c r="D429" i="11"/>
  <c r="D428" i="11" s="1"/>
  <c r="E428" i="11"/>
  <c r="C238" i="11"/>
  <c r="D238" i="11"/>
  <c r="E238" i="11"/>
  <c r="E14" i="13"/>
  <c r="D14" i="13"/>
  <c r="C14" i="13"/>
  <c r="B14" i="13"/>
  <c r="Q16" i="3"/>
  <c r="Q25" i="3"/>
  <c r="Q42" i="3"/>
  <c r="Q45" i="3"/>
  <c r="O49" i="3"/>
  <c r="O16" i="3"/>
  <c r="D110" i="2"/>
  <c r="D113" i="2"/>
  <c r="D101" i="2"/>
  <c r="C113" i="2"/>
  <c r="C98" i="2"/>
  <c r="C57" i="2"/>
  <c r="C56" i="2"/>
  <c r="C86" i="2"/>
  <c r="C101" i="2"/>
  <c r="C95" i="2"/>
  <c r="C66" i="2"/>
  <c r="C103" i="2"/>
  <c r="E24" i="2"/>
  <c r="D24" i="2"/>
  <c r="C24" i="2"/>
  <c r="F429" i="11" l="1"/>
  <c r="F238" i="11"/>
  <c r="F428" i="11"/>
  <c r="E454" i="11"/>
  <c r="E453" i="11" s="1"/>
  <c r="D454" i="11"/>
  <c r="D453" i="11" s="1"/>
  <c r="C454" i="11"/>
  <c r="C453" i="11" s="1"/>
  <c r="E451" i="11"/>
  <c r="D451" i="11"/>
  <c r="C451" i="11"/>
  <c r="E449" i="11"/>
  <c r="D449" i="11"/>
  <c r="C449" i="11"/>
  <c r="E447" i="11"/>
  <c r="D447" i="11"/>
  <c r="C447" i="11"/>
  <c r="F15" i="13"/>
  <c r="G15" i="13"/>
  <c r="E22" i="1"/>
  <c r="D22" i="1"/>
  <c r="C22" i="1"/>
  <c r="B22" i="1"/>
  <c r="E446" i="11" l="1"/>
  <c r="D446" i="11"/>
  <c r="D445" i="11" s="1"/>
  <c r="C446" i="11"/>
  <c r="C445" i="11" s="1"/>
  <c r="F453" i="11"/>
  <c r="F446" i="11"/>
  <c r="E445" i="11"/>
  <c r="F445" i="11" l="1"/>
  <c r="D282" i="11" l="1"/>
  <c r="C282" i="11"/>
  <c r="E230" i="11"/>
  <c r="D230" i="11"/>
  <c r="C230" i="11"/>
  <c r="E225" i="11"/>
  <c r="D225" i="11"/>
  <c r="C225" i="11"/>
  <c r="E202" i="11"/>
  <c r="E201" i="11" s="1"/>
  <c r="D202" i="11"/>
  <c r="D201" i="11" s="1"/>
  <c r="C331" i="11"/>
  <c r="C278" i="11"/>
  <c r="C202" i="11"/>
  <c r="C201" i="11" s="1"/>
  <c r="Q43" i="3" l="1"/>
  <c r="O43" i="3"/>
  <c r="E282" i="11" l="1"/>
  <c r="E331" i="11"/>
  <c r="D331" i="11"/>
  <c r="E329" i="11"/>
  <c r="D329" i="11"/>
  <c r="C329" i="11"/>
  <c r="E264" i="11"/>
  <c r="D264" i="11"/>
  <c r="C264" i="11"/>
  <c r="E195" i="11"/>
  <c r="D195" i="11"/>
  <c r="C195" i="11"/>
  <c r="E28" i="11"/>
  <c r="C18" i="11"/>
  <c r="C17" i="11" s="1"/>
  <c r="C21" i="11" s="1"/>
  <c r="E18" i="11"/>
  <c r="E17" i="11" s="1"/>
  <c r="D260" i="11" l="1"/>
  <c r="D259" i="11" s="1"/>
  <c r="C260" i="11"/>
  <c r="C259" i="11" s="1"/>
  <c r="E260" i="11"/>
  <c r="E259" i="11" s="1"/>
  <c r="D18" i="11"/>
  <c r="D17" i="11" s="1"/>
  <c r="D21" i="11" s="1"/>
  <c r="E21" i="11"/>
  <c r="F17" i="11" l="1"/>
  <c r="F21" i="11"/>
  <c r="U48" i="3"/>
  <c r="B85" i="2"/>
  <c r="O17" i="3" l="1"/>
  <c r="Q17" i="3"/>
  <c r="D28" i="11" l="1"/>
  <c r="E93" i="11" l="1"/>
  <c r="D93" i="11"/>
  <c r="C93" i="11"/>
  <c r="E390" i="11"/>
  <c r="D390" i="11"/>
  <c r="D389" i="11" s="1"/>
  <c r="D388" i="11" s="1"/>
  <c r="C390" i="11"/>
  <c r="C389" i="11" s="1"/>
  <c r="C388" i="11" s="1"/>
  <c r="E379" i="11"/>
  <c r="D379" i="11"/>
  <c r="C379" i="11"/>
  <c r="E370" i="11"/>
  <c r="E369" i="11" s="1"/>
  <c r="E368" i="11" s="1"/>
  <c r="D370" i="11"/>
  <c r="C370" i="11"/>
  <c r="C369" i="11" s="1"/>
  <c r="C368" i="11" s="1"/>
  <c r="C354" i="11"/>
  <c r="D354" i="11"/>
  <c r="E354" i="11"/>
  <c r="E298" i="11"/>
  <c r="D298" i="11"/>
  <c r="D297" i="11" s="1"/>
  <c r="C298" i="11"/>
  <c r="C297" i="11" s="1"/>
  <c r="E275" i="11"/>
  <c r="D275" i="11"/>
  <c r="C275" i="11"/>
  <c r="E359" i="11"/>
  <c r="E358" i="11" s="1"/>
  <c r="D359" i="11"/>
  <c r="D358" i="11" s="1"/>
  <c r="C359" i="11"/>
  <c r="C358" i="11" s="1"/>
  <c r="E356" i="11"/>
  <c r="D356" i="11"/>
  <c r="C356" i="11"/>
  <c r="E349" i="11"/>
  <c r="D349" i="11"/>
  <c r="C349" i="11"/>
  <c r="E345" i="11"/>
  <c r="D345" i="11"/>
  <c r="C345" i="11"/>
  <c r="E217" i="11"/>
  <c r="D217" i="11"/>
  <c r="D216" i="11" s="1"/>
  <c r="E214" i="11"/>
  <c r="E213" i="11" s="1"/>
  <c r="D214" i="11"/>
  <c r="D213" i="11" s="1"/>
  <c r="C217" i="11"/>
  <c r="C216" i="11" s="1"/>
  <c r="E228" i="11"/>
  <c r="E227" i="11" s="1"/>
  <c r="D228" i="11"/>
  <c r="D227" i="11" s="1"/>
  <c r="C228" i="11"/>
  <c r="C227" i="11" s="1"/>
  <c r="C214" i="11"/>
  <c r="C213" i="11" s="1"/>
  <c r="E64" i="11"/>
  <c r="D64" i="11"/>
  <c r="C64" i="11"/>
  <c r="C28" i="11"/>
  <c r="C212" i="11" l="1"/>
  <c r="E216" i="11"/>
  <c r="C344" i="11"/>
  <c r="D353" i="11"/>
  <c r="E344" i="11"/>
  <c r="E353" i="11"/>
  <c r="C353" i="11"/>
  <c r="D344" i="11"/>
  <c r="E389" i="11"/>
  <c r="D369" i="11"/>
  <c r="D368" i="11" s="1"/>
  <c r="F368" i="11" s="1"/>
  <c r="E297" i="11"/>
  <c r="F297" i="11" s="1"/>
  <c r="F358" i="11"/>
  <c r="D212" i="11"/>
  <c r="U39" i="3"/>
  <c r="U28" i="3"/>
  <c r="S14" i="3"/>
  <c r="Q14" i="3"/>
  <c r="O14" i="3"/>
  <c r="M14" i="3"/>
  <c r="U19" i="3"/>
  <c r="D343" i="11" l="1"/>
  <c r="F227" i="11"/>
  <c r="C343" i="11"/>
  <c r="E343" i="11"/>
  <c r="E388" i="11"/>
  <c r="F388" i="11" s="1"/>
  <c r="F389" i="11"/>
  <c r="F369" i="11"/>
  <c r="F353" i="11"/>
  <c r="F344" i="11"/>
  <c r="E212" i="11"/>
  <c r="C100" i="2"/>
  <c r="B100" i="2"/>
  <c r="E16" i="2"/>
  <c r="D16" i="2"/>
  <c r="B16" i="2"/>
  <c r="C16" i="2"/>
  <c r="F343" i="11" l="1"/>
  <c r="E100" i="2"/>
  <c r="D100" i="2"/>
  <c r="C75" i="2"/>
  <c r="D13" i="13" l="1"/>
  <c r="C13" i="13"/>
  <c r="E13" i="13" l="1"/>
  <c r="G13" i="13" s="1"/>
  <c r="G14" i="13"/>
  <c r="G16" i="13"/>
  <c r="E67" i="11"/>
  <c r="D334" i="11"/>
  <c r="E103" i="11"/>
  <c r="D103" i="11"/>
  <c r="C103" i="11"/>
  <c r="D67" i="11"/>
  <c r="E205" i="11"/>
  <c r="E204" i="11" s="1"/>
  <c r="D205" i="11"/>
  <c r="D204" i="11" s="1"/>
  <c r="C205" i="11"/>
  <c r="C204" i="11" s="1"/>
  <c r="F39" i="11"/>
  <c r="E40" i="11"/>
  <c r="E39" i="11" s="1"/>
  <c r="D40" i="11"/>
  <c r="D39" i="11" s="1"/>
  <c r="C40" i="11"/>
  <c r="C39" i="11" s="1"/>
  <c r="U47" i="3"/>
  <c r="U45" i="3"/>
  <c r="U44" i="3"/>
  <c r="U42" i="3"/>
  <c r="U41" i="3"/>
  <c r="U38" i="3"/>
  <c r="F204" i="11" l="1"/>
  <c r="W30" i="3"/>
  <c r="U27" i="3"/>
  <c r="W48" i="3"/>
  <c r="W25" i="3"/>
  <c r="W22" i="3"/>
  <c r="S26" i="3"/>
  <c r="Q26" i="3"/>
  <c r="O26" i="3"/>
  <c r="M26" i="3"/>
  <c r="W28" i="3"/>
  <c r="U26" i="3" l="1"/>
  <c r="D97" i="2"/>
  <c r="E49" i="2" l="1"/>
  <c r="E48" i="2" s="1"/>
  <c r="E47" i="2" s="1"/>
  <c r="D49" i="2"/>
  <c r="D48" i="2" s="1"/>
  <c r="D47" i="2" s="1"/>
  <c r="C49" i="2"/>
  <c r="C48" i="2" s="1"/>
  <c r="C47" i="2" s="1"/>
  <c r="F48" i="2"/>
  <c r="F47" i="2" s="1"/>
  <c r="B49" i="2"/>
  <c r="B48" i="2" s="1"/>
  <c r="B47" i="2" s="1"/>
  <c r="E17" i="1"/>
  <c r="G48" i="2" l="1"/>
  <c r="G47" i="2" l="1"/>
  <c r="E286" i="11" l="1"/>
  <c r="E197" i="11"/>
  <c r="D419" i="11"/>
  <c r="D418" i="11" s="1"/>
  <c r="E419" i="11"/>
  <c r="E418" i="11" s="1"/>
  <c r="E417" i="11" s="1"/>
  <c r="D378" i="11"/>
  <c r="E378" i="11"/>
  <c r="E377" i="11" s="1"/>
  <c r="D333" i="11"/>
  <c r="E334" i="11"/>
  <c r="D326" i="11"/>
  <c r="E326" i="11"/>
  <c r="D324" i="11"/>
  <c r="E324" i="11"/>
  <c r="D295" i="11"/>
  <c r="D294" i="11" s="1"/>
  <c r="E295" i="11"/>
  <c r="E294" i="11" s="1"/>
  <c r="D286" i="11"/>
  <c r="D278" i="11"/>
  <c r="E278" i="11"/>
  <c r="E277" i="11" s="1"/>
  <c r="D273" i="11"/>
  <c r="E273" i="11"/>
  <c r="E272" i="11" s="1"/>
  <c r="D250" i="11"/>
  <c r="E250" i="11"/>
  <c r="D246" i="11"/>
  <c r="E246" i="11"/>
  <c r="D199" i="11"/>
  <c r="E199" i="11"/>
  <c r="D197" i="11"/>
  <c r="D183" i="11"/>
  <c r="D182" i="11" s="1"/>
  <c r="D181" i="11" s="1"/>
  <c r="E183" i="11"/>
  <c r="E182" i="11" s="1"/>
  <c r="E181" i="11" s="1"/>
  <c r="D171" i="11"/>
  <c r="D170" i="11" s="1"/>
  <c r="D169" i="11" s="1"/>
  <c r="E171" i="11"/>
  <c r="E170" i="11" s="1"/>
  <c r="E169" i="11" s="1"/>
  <c r="D160" i="11"/>
  <c r="D159" i="11" s="1"/>
  <c r="E160" i="11"/>
  <c r="E159" i="11" s="1"/>
  <c r="D153" i="11"/>
  <c r="E153" i="11"/>
  <c r="D151" i="11"/>
  <c r="E151" i="11"/>
  <c r="D141" i="11"/>
  <c r="E141" i="11"/>
  <c r="E135" i="11"/>
  <c r="D135" i="11"/>
  <c r="E131" i="11"/>
  <c r="D131" i="11"/>
  <c r="C419" i="11"/>
  <c r="C418" i="11" s="1"/>
  <c r="C417" i="11" s="1"/>
  <c r="C378" i="11"/>
  <c r="C377" i="11" s="1"/>
  <c r="C324" i="11"/>
  <c r="C326" i="11"/>
  <c r="C334" i="11"/>
  <c r="C333" i="11" s="1"/>
  <c r="C295" i="11"/>
  <c r="C294" i="11" s="1"/>
  <c r="C273" i="11"/>
  <c r="C286" i="11"/>
  <c r="C277" i="11" s="1"/>
  <c r="C246" i="11"/>
  <c r="C250" i="11"/>
  <c r="C252" i="11"/>
  <c r="C197" i="11"/>
  <c r="C199" i="11"/>
  <c r="C183" i="11"/>
  <c r="C182" i="11" s="1"/>
  <c r="C181" i="11" s="1"/>
  <c r="C171" i="11"/>
  <c r="C170" i="11" s="1"/>
  <c r="C169" i="11" s="1"/>
  <c r="E245" i="11" l="1"/>
  <c r="E237" i="11" s="1"/>
  <c r="E323" i="11"/>
  <c r="D245" i="11"/>
  <c r="D237" i="11" s="1"/>
  <c r="C245" i="11"/>
  <c r="D277" i="11"/>
  <c r="D323" i="11"/>
  <c r="D322" i="11" s="1"/>
  <c r="C323" i="11"/>
  <c r="C322" i="11" s="1"/>
  <c r="D272" i="11"/>
  <c r="C272" i="11"/>
  <c r="F169" i="11"/>
  <c r="F181" i="11"/>
  <c r="F212" i="11"/>
  <c r="E333" i="11"/>
  <c r="F333" i="11" s="1"/>
  <c r="F159" i="11"/>
  <c r="D417" i="11"/>
  <c r="F417" i="11" s="1"/>
  <c r="F418" i="11"/>
  <c r="D377" i="11"/>
  <c r="F377" i="11" s="1"/>
  <c r="F378" i="11"/>
  <c r="F294" i="11"/>
  <c r="F216" i="11"/>
  <c r="D194" i="11"/>
  <c r="F182" i="11"/>
  <c r="F170" i="11"/>
  <c r="D130" i="11"/>
  <c r="D129" i="11" s="1"/>
  <c r="E194" i="11"/>
  <c r="E271" i="11"/>
  <c r="E130" i="11"/>
  <c r="E129" i="11" s="1"/>
  <c r="C237" i="11"/>
  <c r="C194" i="11"/>
  <c r="C160" i="11"/>
  <c r="C159" i="11" s="1"/>
  <c r="C153" i="11"/>
  <c r="C151" i="11"/>
  <c r="C141" i="11"/>
  <c r="C135" i="11"/>
  <c r="C131" i="11"/>
  <c r="E112" i="11"/>
  <c r="E116" i="11" s="1"/>
  <c r="D112" i="11"/>
  <c r="D116" i="11" s="1"/>
  <c r="C112" i="11"/>
  <c r="C116" i="11" s="1"/>
  <c r="E102" i="11"/>
  <c r="E106" i="11" s="1"/>
  <c r="D102" i="11"/>
  <c r="D106" i="11" s="1"/>
  <c r="C102" i="11"/>
  <c r="C106" i="11" s="1"/>
  <c r="E92" i="11"/>
  <c r="E96" i="11" s="1"/>
  <c r="D92" i="11"/>
  <c r="C92" i="11"/>
  <c r="C96" i="11" s="1"/>
  <c r="E37" i="11"/>
  <c r="D37" i="11"/>
  <c r="C37" i="11"/>
  <c r="C36" i="11" s="1"/>
  <c r="C42" i="11" s="1"/>
  <c r="E55" i="11"/>
  <c r="D55" i="11"/>
  <c r="D54" i="11" s="1"/>
  <c r="C55" i="11"/>
  <c r="C54" i="11" s="1"/>
  <c r="E27" i="11"/>
  <c r="E30" i="11" s="1"/>
  <c r="D27" i="11"/>
  <c r="D30" i="11" s="1"/>
  <c r="C27" i="11"/>
  <c r="C30" i="11" s="1"/>
  <c r="E81" i="11"/>
  <c r="E80" i="11" s="1"/>
  <c r="D81" i="11"/>
  <c r="C81" i="11"/>
  <c r="E52" i="11"/>
  <c r="E51" i="11" s="1"/>
  <c r="D52" i="11"/>
  <c r="D51" i="11" s="1"/>
  <c r="C52" i="11"/>
  <c r="C51" i="11" s="1"/>
  <c r="E49" i="11"/>
  <c r="E48" i="11" s="1"/>
  <c r="D49" i="11"/>
  <c r="D48" i="11" s="1"/>
  <c r="C49" i="11"/>
  <c r="C48" i="11" s="1"/>
  <c r="E72" i="11"/>
  <c r="D72" i="11"/>
  <c r="E69" i="11"/>
  <c r="D69" i="11"/>
  <c r="C69" i="11"/>
  <c r="C67" i="11"/>
  <c r="W47" i="3"/>
  <c r="W45" i="3"/>
  <c r="W44" i="3"/>
  <c r="W42" i="3"/>
  <c r="W41" i="3"/>
  <c r="W39" i="3"/>
  <c r="W38" i="3"/>
  <c r="W36" i="3"/>
  <c r="W35" i="3"/>
  <c r="W27" i="3"/>
  <c r="W24" i="3"/>
  <c r="W21" i="3"/>
  <c r="W19" i="3"/>
  <c r="W18" i="3"/>
  <c r="W16" i="3"/>
  <c r="W15" i="3"/>
  <c r="U36" i="3"/>
  <c r="U35" i="3"/>
  <c r="U24" i="3"/>
  <c r="U21" i="3"/>
  <c r="U18" i="3"/>
  <c r="U16" i="3"/>
  <c r="U15" i="3"/>
  <c r="S23" i="3"/>
  <c r="Q23" i="3"/>
  <c r="O23" i="3"/>
  <c r="M23" i="3"/>
  <c r="S20" i="3"/>
  <c r="Q20" i="3"/>
  <c r="O20" i="3"/>
  <c r="M20" i="3"/>
  <c r="S17" i="3"/>
  <c r="M17" i="3"/>
  <c r="E118" i="11" l="1"/>
  <c r="E322" i="11"/>
  <c r="F322" i="11" s="1"/>
  <c r="C118" i="11"/>
  <c r="D84" i="11"/>
  <c r="D80" i="11"/>
  <c r="F80" i="11" s="1"/>
  <c r="C84" i="11"/>
  <c r="C80" i="11"/>
  <c r="C271" i="11"/>
  <c r="D271" i="11"/>
  <c r="F213" i="11"/>
  <c r="D63" i="11"/>
  <c r="D74" i="11" s="1"/>
  <c r="E63" i="11"/>
  <c r="C63" i="11"/>
  <c r="C74" i="11" s="1"/>
  <c r="F309" i="11"/>
  <c r="F305" i="11"/>
  <c r="C193" i="11"/>
  <c r="D193" i="11"/>
  <c r="D457" i="11" s="1"/>
  <c r="E193" i="11"/>
  <c r="F194" i="11"/>
  <c r="U23" i="3"/>
  <c r="W20" i="3"/>
  <c r="W23" i="3"/>
  <c r="W17" i="3"/>
  <c r="U20" i="3"/>
  <c r="U17" i="3"/>
  <c r="F323" i="11"/>
  <c r="F277" i="11"/>
  <c r="F272" i="11"/>
  <c r="F259" i="11"/>
  <c r="F260" i="11"/>
  <c r="F237" i="11"/>
  <c r="F245" i="11"/>
  <c r="F201" i="11"/>
  <c r="F130" i="11"/>
  <c r="F116" i="11"/>
  <c r="F51" i="11"/>
  <c r="F27" i="11"/>
  <c r="F48" i="11"/>
  <c r="C130" i="11"/>
  <c r="C129" i="11" s="1"/>
  <c r="E84" i="11"/>
  <c r="F84" i="11" s="1"/>
  <c r="F106" i="11"/>
  <c r="C57" i="11"/>
  <c r="F92" i="11"/>
  <c r="D96" i="11"/>
  <c r="D118" i="11" s="1"/>
  <c r="F102" i="11"/>
  <c r="F30" i="11"/>
  <c r="D57" i="11"/>
  <c r="F112" i="11"/>
  <c r="D36" i="11"/>
  <c r="D42" i="11" s="1"/>
  <c r="E36" i="11"/>
  <c r="E42" i="11" s="1"/>
  <c r="E54" i="11"/>
  <c r="F54" i="11" s="1"/>
  <c r="S37" i="3"/>
  <c r="Q37" i="3"/>
  <c r="O37" i="3"/>
  <c r="M37" i="3"/>
  <c r="S49" i="3"/>
  <c r="Q49" i="3"/>
  <c r="M49" i="3"/>
  <c r="S46" i="3"/>
  <c r="Q46" i="3"/>
  <c r="O46" i="3"/>
  <c r="M46" i="3"/>
  <c r="S43" i="3"/>
  <c r="M43" i="3"/>
  <c r="S40" i="3"/>
  <c r="Q40" i="3"/>
  <c r="O40" i="3"/>
  <c r="M40" i="3"/>
  <c r="S34" i="3"/>
  <c r="Q34" i="3"/>
  <c r="O34" i="3"/>
  <c r="M34" i="3"/>
  <c r="S29" i="3"/>
  <c r="S31" i="3" s="1"/>
  <c r="Q29" i="3"/>
  <c r="Q31" i="3" s="1"/>
  <c r="O29" i="3"/>
  <c r="O31" i="3" s="1"/>
  <c r="M29" i="3"/>
  <c r="W26" i="3"/>
  <c r="E457" i="11" l="1"/>
  <c r="C457" i="11"/>
  <c r="D117" i="11"/>
  <c r="C117" i="11"/>
  <c r="C119" i="11" s="1"/>
  <c r="F129" i="11"/>
  <c r="U46" i="3"/>
  <c r="U43" i="3"/>
  <c r="U37" i="3"/>
  <c r="U40" i="3"/>
  <c r="W29" i="3"/>
  <c r="U14" i="3"/>
  <c r="F96" i="11"/>
  <c r="F193" i="11"/>
  <c r="W43" i="3"/>
  <c r="W40" i="3"/>
  <c r="W34" i="3"/>
  <c r="W37" i="3"/>
  <c r="W46" i="3"/>
  <c r="U34" i="3"/>
  <c r="W14" i="3"/>
  <c r="F271" i="11"/>
  <c r="E57" i="11"/>
  <c r="F57" i="11" s="1"/>
  <c r="E74" i="11"/>
  <c r="F63" i="11"/>
  <c r="F36" i="11"/>
  <c r="S52" i="3"/>
  <c r="Q52" i="3"/>
  <c r="M52" i="3"/>
  <c r="O52" i="3"/>
  <c r="M31" i="3"/>
  <c r="D58" i="2"/>
  <c r="D60" i="2"/>
  <c r="B97" i="2"/>
  <c r="B96" i="2" s="1"/>
  <c r="B58" i="2"/>
  <c r="E112" i="2"/>
  <c r="D112" i="2"/>
  <c r="B112" i="2"/>
  <c r="E106" i="2"/>
  <c r="D106" i="2"/>
  <c r="E102" i="2"/>
  <c r="E99" i="2" s="1"/>
  <c r="D102" i="2"/>
  <c r="D99" i="2" s="1"/>
  <c r="B102" i="2"/>
  <c r="B99" i="2" s="1"/>
  <c r="E97" i="2"/>
  <c r="E96" i="2" s="1"/>
  <c r="D96" i="2"/>
  <c r="E94" i="2"/>
  <c r="E93" i="2" s="1"/>
  <c r="D94" i="2"/>
  <c r="D93" i="2" s="1"/>
  <c r="E87" i="2"/>
  <c r="D87" i="2"/>
  <c r="E85" i="2"/>
  <c r="D85" i="2"/>
  <c r="E75" i="2"/>
  <c r="D75" i="2"/>
  <c r="E68" i="2"/>
  <c r="D68" i="2"/>
  <c r="E63" i="2"/>
  <c r="D63" i="2"/>
  <c r="E60" i="2"/>
  <c r="E58" i="2"/>
  <c r="E54" i="2"/>
  <c r="D54" i="2"/>
  <c r="C112" i="2"/>
  <c r="C106" i="2"/>
  <c r="C102" i="2"/>
  <c r="C99" i="2" s="1"/>
  <c r="C97" i="2"/>
  <c r="C96" i="2" s="1"/>
  <c r="C94" i="2"/>
  <c r="C93" i="2" s="1"/>
  <c r="C87" i="2"/>
  <c r="C85" i="2"/>
  <c r="C68" i="2"/>
  <c r="C63" i="2"/>
  <c r="C60" i="2"/>
  <c r="C58" i="2"/>
  <c r="C54" i="2"/>
  <c r="E45" i="2"/>
  <c r="E44" i="2" s="1"/>
  <c r="D45" i="2"/>
  <c r="D44" i="2" s="1"/>
  <c r="B45" i="2"/>
  <c r="B44" i="2" s="1"/>
  <c r="E41" i="2"/>
  <c r="E40" i="2" s="1"/>
  <c r="D41" i="2"/>
  <c r="D40" i="2" s="1"/>
  <c r="B41" i="2"/>
  <c r="B40" i="2" s="1"/>
  <c r="E37" i="2"/>
  <c r="D37" i="2"/>
  <c r="B37" i="2"/>
  <c r="E35" i="2"/>
  <c r="D35" i="2"/>
  <c r="B35" i="2"/>
  <c r="E32" i="2"/>
  <c r="E31" i="2" s="1"/>
  <c r="D32" i="2"/>
  <c r="D31" i="2" s="1"/>
  <c r="B32" i="2"/>
  <c r="B31" i="2" s="1"/>
  <c r="E29" i="2"/>
  <c r="E28" i="2" s="1"/>
  <c r="D29" i="2"/>
  <c r="D28" i="2" s="1"/>
  <c r="B29" i="2"/>
  <c r="B28" i="2" s="1"/>
  <c r="E26" i="2"/>
  <c r="D26" i="2"/>
  <c r="B26" i="2"/>
  <c r="B24" i="2"/>
  <c r="E21" i="2"/>
  <c r="D21" i="2"/>
  <c r="B21" i="2"/>
  <c r="E19" i="2"/>
  <c r="D19" i="2"/>
  <c r="B19" i="2"/>
  <c r="C41" i="2"/>
  <c r="C40" i="2" s="1"/>
  <c r="C45" i="2"/>
  <c r="C44" i="2" s="1"/>
  <c r="C37" i="2"/>
  <c r="C35" i="2"/>
  <c r="C32" i="2"/>
  <c r="C31" i="2" s="1"/>
  <c r="C29" i="2"/>
  <c r="C28" i="2" s="1"/>
  <c r="C26" i="2"/>
  <c r="C21" i="2"/>
  <c r="C19" i="2"/>
  <c r="F44" i="2" l="1"/>
  <c r="E117" i="11"/>
  <c r="E119" i="11" s="1"/>
  <c r="F74" i="11"/>
  <c r="F457" i="11"/>
  <c r="G99" i="2"/>
  <c r="F96" i="2"/>
  <c r="U52" i="3"/>
  <c r="W52" i="3"/>
  <c r="W31" i="3"/>
  <c r="U31" i="3"/>
  <c r="G96" i="2"/>
  <c r="D105" i="2"/>
  <c r="D104" i="2" s="1"/>
  <c r="C105" i="2"/>
  <c r="C104" i="2" s="1"/>
  <c r="G93" i="2"/>
  <c r="C62" i="2"/>
  <c r="C53" i="2"/>
  <c r="G40" i="2"/>
  <c r="C34" i="2"/>
  <c r="G31" i="2"/>
  <c r="G28" i="2"/>
  <c r="F99" i="2"/>
  <c r="G44" i="2"/>
  <c r="F40" i="2"/>
  <c r="B34" i="2"/>
  <c r="F31" i="2"/>
  <c r="G29" i="2"/>
  <c r="D119" i="11"/>
  <c r="F118" i="11"/>
  <c r="F42" i="11"/>
  <c r="B15" i="2"/>
  <c r="E62" i="2"/>
  <c r="E53" i="2"/>
  <c r="E34" i="2"/>
  <c r="E15" i="2"/>
  <c r="D62" i="2"/>
  <c r="D53" i="2"/>
  <c r="B94" i="2"/>
  <c r="B60" i="2"/>
  <c r="B106" i="2"/>
  <c r="B87" i="2"/>
  <c r="B54" i="2"/>
  <c r="B75" i="2"/>
  <c r="B68" i="2"/>
  <c r="B63" i="2"/>
  <c r="E105" i="2"/>
  <c r="D34" i="2"/>
  <c r="D15" i="2"/>
  <c r="C15" i="2"/>
  <c r="D17" i="1"/>
  <c r="C17" i="1"/>
  <c r="B17" i="1"/>
  <c r="G16" i="1"/>
  <c r="G15" i="1"/>
  <c r="G12" i="1"/>
  <c r="F16" i="1"/>
  <c r="F15" i="1"/>
  <c r="F12" i="1"/>
  <c r="E14" i="1"/>
  <c r="D14" i="1"/>
  <c r="C14" i="1"/>
  <c r="B14" i="1"/>
  <c r="C14" i="2" l="1"/>
  <c r="C13" i="2" s="1"/>
  <c r="C52" i="2"/>
  <c r="C51" i="2" s="1"/>
  <c r="G62" i="2"/>
  <c r="G53" i="2"/>
  <c r="G34" i="2"/>
  <c r="E104" i="2"/>
  <c r="G104" i="2" s="1"/>
  <c r="G105" i="2"/>
  <c r="F34" i="2"/>
  <c r="E14" i="2"/>
  <c r="G15" i="2"/>
  <c r="B105" i="2"/>
  <c r="B93" i="2"/>
  <c r="F93" i="2" s="1"/>
  <c r="B14" i="2"/>
  <c r="B13" i="2" s="1"/>
  <c r="F15" i="2"/>
  <c r="G17" i="1"/>
  <c r="F119" i="11"/>
  <c r="F117" i="11"/>
  <c r="E52" i="2"/>
  <c r="D52" i="2"/>
  <c r="D51" i="2" s="1"/>
  <c r="B53" i="2"/>
  <c r="B62" i="2"/>
  <c r="F62" i="2" s="1"/>
  <c r="D14" i="2"/>
  <c r="D13" i="2" s="1"/>
  <c r="D18" i="1"/>
  <c r="D24" i="1" s="1"/>
  <c r="C18" i="1"/>
  <c r="C24" i="1" s="1"/>
  <c r="B18" i="1"/>
  <c r="E18" i="1"/>
  <c r="G14" i="1"/>
  <c r="F14" i="1"/>
  <c r="F17" i="1"/>
  <c r="F53" i="2" l="1"/>
  <c r="B52" i="2"/>
  <c r="E13" i="2"/>
  <c r="E51" i="2"/>
  <c r="G52" i="2"/>
  <c r="F14" i="2"/>
  <c r="G14" i="2"/>
  <c r="B104" i="2"/>
  <c r="F104" i="2" s="1"/>
  <c r="F105" i="2"/>
  <c r="B51" i="2" l="1"/>
  <c r="F52" i="2"/>
  <c r="F16" i="13"/>
  <c r="B13" i="13"/>
  <c r="F13" i="13" s="1"/>
  <c r="F14" i="13" l="1"/>
</calcChain>
</file>

<file path=xl/sharedStrings.xml><?xml version="1.0" encoding="utf-8"?>
<sst xmlns="http://schemas.openxmlformats.org/spreadsheetml/2006/main" count="1023" uniqueCount="377">
  <si>
    <t/>
  </si>
  <si>
    <t>Račun / opis</t>
  </si>
  <si>
    <t>Indeks  4/1</t>
  </si>
  <si>
    <t>Indeks  4/3</t>
  </si>
  <si>
    <t>1</t>
  </si>
  <si>
    <t>2</t>
  </si>
  <si>
    <t>3</t>
  </si>
  <si>
    <t>4</t>
  </si>
  <si>
    <t>5</t>
  </si>
  <si>
    <t>6</t>
  </si>
  <si>
    <t xml:space="preserve">6 Prihodi poslovanja                                                                                  </t>
  </si>
  <si>
    <t xml:space="preserve"> UKUPNI PRIHODI</t>
  </si>
  <si>
    <t>3 Rashodi poslovanja</t>
  </si>
  <si>
    <t xml:space="preserve">4 Rashodi za nabavu nefinancijske imovine                                                             </t>
  </si>
  <si>
    <t xml:space="preserve"> UKUPNI RASHODI</t>
  </si>
  <si>
    <t>Prihodi i rashodi prema ekonomskoj klasifikaciji</t>
  </si>
  <si>
    <t>63 Pomoći iz inozemstva i od subjekata unutar općeg proračuna</t>
  </si>
  <si>
    <t>634 Pomoći od izvanproračunskih korisnika</t>
  </si>
  <si>
    <t xml:space="preserve">6341 Tekuće pomoći od izvanproračunskih korisnika </t>
  </si>
  <si>
    <t>636 Pomoći proračunskim korisnicima iz proračuna koji im nije nadležan</t>
  </si>
  <si>
    <t>6361 Tekuće pomoći proračunskim korisnicima iz proračuna koji im nije nadležan</t>
  </si>
  <si>
    <t>6362 Kapitalne pomoći proračunskim korisnicima iz proračuna koji im nije nadležan</t>
  </si>
  <si>
    <t>638 Pomoći temeljem prijenosa EU sredstava</t>
  </si>
  <si>
    <t>6381 Tekuće pomoći temeljem prijenosa EU sredstava</t>
  </si>
  <si>
    <t>639 Prijenosi između proračunskih korisnika istog proračuna</t>
  </si>
  <si>
    <t>6393 Tekući prijenosi između proračunskih korisnika istog proračuna temeljem prijenosa EU sredstava</t>
  </si>
  <si>
    <t xml:space="preserve">64 Prihodi od imovine                                                                                  </t>
  </si>
  <si>
    <t xml:space="preserve">641 Prihodi od financijske imovine                                                                      </t>
  </si>
  <si>
    <t xml:space="preserve">65 Prihodi od upravnih i administrativnih pristojbi, pristojbi po posebnim propisima i naknada         </t>
  </si>
  <si>
    <t xml:space="preserve">652 Prihodi po posebnim propisima                                                                       </t>
  </si>
  <si>
    <t xml:space="preserve">6526 Ostali nespomenuti prihodi                                                                          </t>
  </si>
  <si>
    <t xml:space="preserve">6615 Prihodi od pruženih usluga                                                                          </t>
  </si>
  <si>
    <t>663 Donacije od pravnih i fizičkih osoba izvan opće države</t>
  </si>
  <si>
    <t xml:space="preserve">6631 Tekuće donacije                                                                                     </t>
  </si>
  <si>
    <t xml:space="preserve">6632 Kapitalne donacije                                                                                  </t>
  </si>
  <si>
    <t xml:space="preserve">68 Kazne, upravne mjere i ostali prihodi                                                               </t>
  </si>
  <si>
    <t xml:space="preserve">683 Ostali prihodi                                                                                      </t>
  </si>
  <si>
    <t xml:space="preserve">6831 Ostali prihodi                                                                                      </t>
  </si>
  <si>
    <t xml:space="preserve">31 Rashodi za zaposlene                                                                                </t>
  </si>
  <si>
    <t xml:space="preserve">311 Plaće (Bruto)                                                                                       </t>
  </si>
  <si>
    <t xml:space="preserve">3111 Plaće za redovan rad                                                                                </t>
  </si>
  <si>
    <t xml:space="preserve">3113 Plaće za prekovremeni rad                                                                           </t>
  </si>
  <si>
    <t xml:space="preserve">3114 Plaće za posebne uvjete rada                                                                        </t>
  </si>
  <si>
    <t xml:space="preserve">312 Ostali rashodi za zaposlene                                                                         </t>
  </si>
  <si>
    <t xml:space="preserve">3121 Ostali rashodi za zaposlene                                                                         </t>
  </si>
  <si>
    <t xml:space="preserve">313 Doprinosi na plaće                                                                                  </t>
  </si>
  <si>
    <t xml:space="preserve">3132 Doprinosi za obvezno zdravstveno osiguranje                                                         </t>
  </si>
  <si>
    <t xml:space="preserve">32 Materijalni rashodi                                                                                 </t>
  </si>
  <si>
    <t xml:space="preserve">321 Naknade troškova zaposlenima                                                                        </t>
  </si>
  <si>
    <t xml:space="preserve">3211 Službena putovanja                                                                                  </t>
  </si>
  <si>
    <t xml:space="preserve">3212 Naknade za prijevoz, za rad na terenu i odvojeni život                                              </t>
  </si>
  <si>
    <t xml:space="preserve">3213 Stručno usavršavanje zaposlenika                                                                    </t>
  </si>
  <si>
    <t xml:space="preserve">3214 Ostale naknade troškova zaposlenima                                                                 </t>
  </si>
  <si>
    <t xml:space="preserve">322 Rashodi za materijal i energiju                                                                     </t>
  </si>
  <si>
    <t xml:space="preserve">3221 Uredski materijal i ostali materijalni rashodi                                                      </t>
  </si>
  <si>
    <t xml:space="preserve">3222 Materijal i sirovine                                                                                </t>
  </si>
  <si>
    <t xml:space="preserve">3223 Energija                                                                                            </t>
  </si>
  <si>
    <t xml:space="preserve">3224 Materijal i dijelovi za tekuće i investicijsko održavanje                                           </t>
  </si>
  <si>
    <t xml:space="preserve">3225 Sitni inventar i auto gume                                                                          </t>
  </si>
  <si>
    <t xml:space="preserve">3227 Službena, radna i zaštitna odjeća i obuća                                                           </t>
  </si>
  <si>
    <t xml:space="preserve">323 Rashodi za usluge                                                                                   </t>
  </si>
  <si>
    <t xml:space="preserve">3231 Usluge telefona, pošte i prijevoza                                                                  </t>
  </si>
  <si>
    <t xml:space="preserve">3232 Usluge tekućeg i investicijskog održavanja                                                          </t>
  </si>
  <si>
    <t xml:space="preserve">3233 Usluge promidžbe i informiranja                                                                     </t>
  </si>
  <si>
    <t xml:space="preserve">3234 Komunalne usluge                                                                                    </t>
  </si>
  <si>
    <t xml:space="preserve">3235 Zakupnine i najamnine                                                                               </t>
  </si>
  <si>
    <t xml:space="preserve">3236 Zdravstvene i veterinarske usluge                                                                   </t>
  </si>
  <si>
    <t xml:space="preserve">3237 Intelektualne i osobne usluge                                                                       </t>
  </si>
  <si>
    <t xml:space="preserve">3238 Računalne usluge                                                                                    </t>
  </si>
  <si>
    <t xml:space="preserve">3239 Ostale usluge                                                                                       </t>
  </si>
  <si>
    <t xml:space="preserve">329 Ostali nespomenuti rashodi poslovanja                                                               </t>
  </si>
  <si>
    <t xml:space="preserve">3293 Reprezentacija                                                                                      </t>
  </si>
  <si>
    <t>3294 Članarine</t>
  </si>
  <si>
    <t xml:space="preserve">3295 Pristojbe i naknade                                                                                 </t>
  </si>
  <si>
    <t xml:space="preserve">3299 Ostali nespomenuti rashodi poslovanja                                                               </t>
  </si>
  <si>
    <t xml:space="preserve">34 Financijski rashodi                                                                                 </t>
  </si>
  <si>
    <t xml:space="preserve">343 Ostali financijski rashodi                                                                          </t>
  </si>
  <si>
    <t xml:space="preserve">3431 Bankarske usluge i usluge platnog prometa                                                           </t>
  </si>
  <si>
    <t xml:space="preserve">38 Ostali rashodi                                                                                      </t>
  </si>
  <si>
    <t xml:space="preserve">383 Kazne, penali i naknade štete                                                                       </t>
  </si>
  <si>
    <t xml:space="preserve">422 Postrojenja i oprema                                                                                </t>
  </si>
  <si>
    <t xml:space="preserve">4221 Uredska oprema i namještaj                                                                          </t>
  </si>
  <si>
    <t xml:space="preserve">4222 Komunikacijska oprema                                                                               </t>
  </si>
  <si>
    <t xml:space="preserve">4223 Oprema za održavanje i zaštitu                                                                      </t>
  </si>
  <si>
    <t xml:space="preserve">4226 Sportska i glazbena oprema                                                                          </t>
  </si>
  <si>
    <t xml:space="preserve">4227 Uređaji, strojevi i oprema za ostale namjene                                                        </t>
  </si>
  <si>
    <t>424 Knjige, umjetnička djela i ostalae izložbene vrijednosti</t>
  </si>
  <si>
    <t xml:space="preserve">4241 Knjige                                                                                              </t>
  </si>
  <si>
    <t>PRIHODI I RASHODI PREMA IZVORIMA FINANCIRANJA</t>
  </si>
  <si>
    <t>Izvor 1. OPĆI PRIHODI I PRIMICI</t>
  </si>
  <si>
    <t>Izvor 1.0. OPĆI PRIHODI I PRIMICI</t>
  </si>
  <si>
    <t>Izvor 1.1. OPĆI PRIHODI I PRIMICI - DEC OŠ</t>
  </si>
  <si>
    <t>Izvor 3. VLASTITI PRIHODI</t>
  </si>
  <si>
    <t>Izvor 3.3. VLASTITI PRIHODI PK - ŠKOLE</t>
  </si>
  <si>
    <t>Izvor 4. PRIHODI ZA POSEBNE NAMJENE</t>
  </si>
  <si>
    <t xml:space="preserve">Izvor 4.5. PRIHODI ZA POSEBNE NAMJENE PK - ŠKOLE </t>
  </si>
  <si>
    <t>Izvor 5. POMOĆI</t>
  </si>
  <si>
    <t>Izvor 5.2. POMOĆI PK - ŠKOLE</t>
  </si>
  <si>
    <t>Izvor 6. DONACIJE</t>
  </si>
  <si>
    <t>Izvor 6.3. DONACIJE PK - ŠKOLE</t>
  </si>
  <si>
    <t xml:space="preserve">Izvor 7. PRIHOD OD PRODAJE NEFINANCIJSKE IMOVINE </t>
  </si>
  <si>
    <t>Izvor 7.0. PRIHOD OD PRODAJE NEFINANCIJSKE IMOVINE I NADONADA ŠTETE</t>
  </si>
  <si>
    <t>Izvor 7.1. PRIHOD OD PRODAJE NEFINACIJSKE IMOVINE I NADOKNADA ŠTETE PK</t>
  </si>
  <si>
    <t>Izvor 4.9. PRIHOD ZA POSEBNE NAMJENE PK - ŠKOLE - REZULTAT PRETH. GOD</t>
  </si>
  <si>
    <t>Izvor 5.5. POMOĆI PK - ŠKOLE - REZULTAT PRETHODNE GODINE</t>
  </si>
  <si>
    <t xml:space="preserve">Izvor 6.4. DONACIJE PK - ŠKOLE - REZULTAT PRETHODNE GODINE </t>
  </si>
  <si>
    <t>311</t>
  </si>
  <si>
    <t xml:space="preserve">Plaće (Bruto)                                                                                       </t>
  </si>
  <si>
    <t>3111</t>
  </si>
  <si>
    <t xml:space="preserve">Plaće za redovan rad                                                                                </t>
  </si>
  <si>
    <t>3113</t>
  </si>
  <si>
    <t xml:space="preserve">Plaće za prekovremeni rad                                                                           </t>
  </si>
  <si>
    <t>312</t>
  </si>
  <si>
    <t xml:space="preserve">Ostali rashodi za zaposlene                                                                         </t>
  </si>
  <si>
    <t>3121</t>
  </si>
  <si>
    <t>313</t>
  </si>
  <si>
    <t xml:space="preserve">Doprinosi na plaće                                                                                  </t>
  </si>
  <si>
    <t>3132</t>
  </si>
  <si>
    <t xml:space="preserve">Doprinosi za obvezno zdravstveno osiguranje                                                         </t>
  </si>
  <si>
    <t>321</t>
  </si>
  <si>
    <t xml:space="preserve">Naknade troškova zaposlenima                                                                        </t>
  </si>
  <si>
    <t>3211</t>
  </si>
  <si>
    <t xml:space="preserve">Službena putovanja                                                                                  </t>
  </si>
  <si>
    <t>3212</t>
  </si>
  <si>
    <t xml:space="preserve">Naknade za prijevoz, za rad na terenu i odvojeni život                                              </t>
  </si>
  <si>
    <t>3213</t>
  </si>
  <si>
    <t xml:space="preserve">Stručno usavršavanje zaposlenika                                                                    </t>
  </si>
  <si>
    <t>322</t>
  </si>
  <si>
    <t xml:space="preserve">Rashodi za materijal i energiju                                                                     </t>
  </si>
  <si>
    <t>3221</t>
  </si>
  <si>
    <t xml:space="preserve">Uredski materijal i ostali materijalni rashodi                                                      </t>
  </si>
  <si>
    <t>3223</t>
  </si>
  <si>
    <t xml:space="preserve">Energija                                                                                            </t>
  </si>
  <si>
    <t>3224</t>
  </si>
  <si>
    <t xml:space="preserve">Materijal i dijelovi za tekuće i investicijsko održavanje                                           </t>
  </si>
  <si>
    <t>3225</t>
  </si>
  <si>
    <t xml:space="preserve">Sitni inventar i auto gume                                                                          </t>
  </si>
  <si>
    <t>3227</t>
  </si>
  <si>
    <t xml:space="preserve">Službena, radna i zaštitna odjeća i obuća                                                           </t>
  </si>
  <si>
    <t>323</t>
  </si>
  <si>
    <t xml:space="preserve">Rashodi za usluge                                                                                   </t>
  </si>
  <si>
    <t>3231</t>
  </si>
  <si>
    <t xml:space="preserve">Usluge telefona, pošte i prijevoza                                                                  </t>
  </si>
  <si>
    <t>3232</t>
  </si>
  <si>
    <t xml:space="preserve">Usluge tekućeg i investicijskog održavanja                                                          </t>
  </si>
  <si>
    <t>3233</t>
  </si>
  <si>
    <t xml:space="preserve">Usluge promidžbe i informiranja                                                                     </t>
  </si>
  <si>
    <t>3234</t>
  </si>
  <si>
    <t xml:space="preserve">Komunalne usluge                                                                                    </t>
  </si>
  <si>
    <t>3235</t>
  </si>
  <si>
    <t xml:space="preserve">Zakupnine i najamnine                                                                               </t>
  </si>
  <si>
    <t>3236</t>
  </si>
  <si>
    <t xml:space="preserve">Zdravstvene i veterinarske usluge                                                                   </t>
  </si>
  <si>
    <t>3237</t>
  </si>
  <si>
    <t xml:space="preserve">Intelektualne i osobne usluge                                                                       </t>
  </si>
  <si>
    <t>3238</t>
  </si>
  <si>
    <t xml:space="preserve">Računalne usluge                                                                                    </t>
  </si>
  <si>
    <t>3239</t>
  </si>
  <si>
    <t xml:space="preserve">Ostale usluge                                                                                       </t>
  </si>
  <si>
    <t>324</t>
  </si>
  <si>
    <t xml:space="preserve">Naknade troškova osobama izvan radnog odnosa                                                        </t>
  </si>
  <si>
    <t>3241</t>
  </si>
  <si>
    <t>329</t>
  </si>
  <si>
    <t xml:space="preserve">Ostali nespomenuti rashodi poslovanja                                                               </t>
  </si>
  <si>
    <t>3292</t>
  </si>
  <si>
    <t xml:space="preserve">Premije osiguranja                                                                                  </t>
  </si>
  <si>
    <t>3293</t>
  </si>
  <si>
    <t xml:space="preserve">Reprezentacija                                                                                      </t>
  </si>
  <si>
    <t>3294</t>
  </si>
  <si>
    <t>Članarine</t>
  </si>
  <si>
    <t>3295</t>
  </si>
  <si>
    <t xml:space="preserve">Pristojbe i naknade                                                                                 </t>
  </si>
  <si>
    <t>3299</t>
  </si>
  <si>
    <t>343</t>
  </si>
  <si>
    <t xml:space="preserve">Ostali financijski rashodi                                                                          </t>
  </si>
  <si>
    <t>3431</t>
  </si>
  <si>
    <t xml:space="preserve">Bankarske usluge i usluge platnog prometa                                                           </t>
  </si>
  <si>
    <t>372</t>
  </si>
  <si>
    <t xml:space="preserve">Ostale naknade građanima i kućanstvima iz proračuna                                                 </t>
  </si>
  <si>
    <t>422</t>
  </si>
  <si>
    <t xml:space="preserve">Postrojenja i oprema                                                                                </t>
  </si>
  <si>
    <t>4221</t>
  </si>
  <si>
    <t xml:space="preserve">Uredska oprema i namještaj                                                                          </t>
  </si>
  <si>
    <t>4227</t>
  </si>
  <si>
    <t xml:space="preserve">Uređaji, strojevi i oprema za ostale namjene                                                        </t>
  </si>
  <si>
    <t xml:space="preserve">Tekuće donacije                                                                                     </t>
  </si>
  <si>
    <t xml:space="preserve">Kapitalne donacije                                                                                  </t>
  </si>
  <si>
    <t>3214</t>
  </si>
  <si>
    <t xml:space="preserve">Ostale naknade troškova zaposlenima                                                                 </t>
  </si>
  <si>
    <t>3222</t>
  </si>
  <si>
    <t xml:space="preserve">Materijal i sirovine                                                                                </t>
  </si>
  <si>
    <t>424</t>
  </si>
  <si>
    <t>Knjige, umjetnička djela i ostalae izložbene vrijednosti</t>
  </si>
  <si>
    <t>4241</t>
  </si>
  <si>
    <t xml:space="preserve">Knjige                                                                                              </t>
  </si>
  <si>
    <t>383</t>
  </si>
  <si>
    <t xml:space="preserve">Kazne, penali i naknade štete                                                                       </t>
  </si>
  <si>
    <t>3831</t>
  </si>
  <si>
    <t xml:space="preserve">Naknade šteta pravnim i fizičkim osobama                                                            </t>
  </si>
  <si>
    <t>4226</t>
  </si>
  <si>
    <t xml:space="preserve">Sportska i glazbena oprema                                                                          </t>
  </si>
  <si>
    <t>3722</t>
  </si>
  <si>
    <t xml:space="preserve">Naknade građanima i kućanstvima u naravi                                                            </t>
  </si>
  <si>
    <t>3114</t>
  </si>
  <si>
    <t xml:space="preserve">Plaće za posebne uvjete rada                                                                        </t>
  </si>
  <si>
    <t>Prijenosi između proračunskih korisnika istog proračuna</t>
  </si>
  <si>
    <t>Tekući prijenosi između proračunskih korisnika istog proračuna temeljem prijenosa EU sredstava</t>
  </si>
  <si>
    <t>Rashodi poslovanja</t>
  </si>
  <si>
    <t>31</t>
  </si>
  <si>
    <t>32</t>
  </si>
  <si>
    <t>34</t>
  </si>
  <si>
    <t>37</t>
  </si>
  <si>
    <t>38</t>
  </si>
  <si>
    <t>42</t>
  </si>
  <si>
    <t xml:space="preserve">Rashodi za zaposlene                                                                                </t>
  </si>
  <si>
    <t xml:space="preserve">Materijalni rashodi                                                                                 </t>
  </si>
  <si>
    <t xml:space="preserve">Financijski rashodi                                                                                 </t>
  </si>
  <si>
    <t xml:space="preserve">Naknade građanima i kućanstvima na temelju osiguranja i druge naknade                               </t>
  </si>
  <si>
    <t xml:space="preserve">Ostali rashodi                                                                                      </t>
  </si>
  <si>
    <t xml:space="preserve">Rashodi za nabavu nefinancijske imovine                                                             </t>
  </si>
  <si>
    <t xml:space="preserve">Rashodi za nabavu proizvedene dugotrajne imovine                                                    </t>
  </si>
  <si>
    <t>OSNOVNA ŠKOLA "DOBRIŠA CESARIĆ"</t>
  </si>
  <si>
    <t>SLAVONSKA 8</t>
  </si>
  <si>
    <t>POŽEGA</t>
  </si>
  <si>
    <t>OIB 58790090389</t>
  </si>
  <si>
    <t xml:space="preserve">O P Ć I    D I O </t>
  </si>
  <si>
    <t xml:space="preserve">4 Rashodi za nabavu nefinancijske imovine   </t>
  </si>
  <si>
    <t xml:space="preserve">7 Prihodi od prodaje nefinancijske imovine  </t>
  </si>
  <si>
    <t xml:space="preserve">8 Primici od financijske imovine i zaduživanja </t>
  </si>
  <si>
    <t xml:space="preserve">5 Izdaci za financijsku imovinu i otplate zajmova </t>
  </si>
  <si>
    <t xml:space="preserve">3722 Naknade građanima i kućanstvima u naravi                                            </t>
  </si>
  <si>
    <t>3831 Naknade šteta pravnim i fizičkim osobama</t>
  </si>
  <si>
    <t xml:space="preserve">632 Pomoći od međunarodnih organizacija te institucija i tijela EU           </t>
  </si>
  <si>
    <t xml:space="preserve">6321 Tekuće pomoći od međunarodnih organizacija           </t>
  </si>
  <si>
    <t xml:space="preserve">6413 Kamate na oročena sredstva i depozite po viđenju         </t>
  </si>
  <si>
    <t xml:space="preserve">66 Prihodi od prodaje proizvoda i robe te pruženih usluga i prihodi od donacija  </t>
  </si>
  <si>
    <t xml:space="preserve">661 Prihodi od prodaje proizvoda i robe te pruženih usluga                           </t>
  </si>
  <si>
    <t xml:space="preserve">324 Naknade troškova osobama izvan radnog odnosa           </t>
  </si>
  <si>
    <t xml:space="preserve">3241 Naknade troškova osobama izvan radnog odnosa                             </t>
  </si>
  <si>
    <t xml:space="preserve">3292 Premije osiguranja        </t>
  </si>
  <si>
    <t xml:space="preserve">37 Naknade građanima i kućanstvima na temelju osiguranja i druge naknade </t>
  </si>
  <si>
    <t xml:space="preserve">372 Ostale naknade građanima i kućanstvima iz proračuna  </t>
  </si>
  <si>
    <t xml:space="preserve">42 Rashodi za nabavu proizvedene dugotrajne imovine </t>
  </si>
  <si>
    <t>67 Prihodi od nadležno proračuna i od HZZO-a temeljem ugovornih obveza</t>
  </si>
  <si>
    <t>671 Prihodi iz nadležnog proračuna za financ. redovne djelatn.proračun.korisnika</t>
  </si>
  <si>
    <t>6711 Prihodi iz nadležnog proračuna za financiranje rashoda poslovanja</t>
  </si>
  <si>
    <t>6712 Prihodi iz nadležnog proračuna za financiranje rashoda za nabavu nefinanc.imovine</t>
  </si>
  <si>
    <t>Prihodi i rashodi prema izvorima financiranja</t>
  </si>
  <si>
    <t>UKUPNO PRIHODI</t>
  </si>
  <si>
    <t>UKUPNO RASHODI</t>
  </si>
  <si>
    <t xml:space="preserve">Izvor 1.0. OPĆI PRIHODI I PRIMICI </t>
  </si>
  <si>
    <t>Izvor 3.4. VLASTITI PRIHODI PK - ŠKOLE - REZULTAT PRETH.GODINE</t>
  </si>
  <si>
    <t>PRIHODI</t>
  </si>
  <si>
    <t>RASHODI</t>
  </si>
  <si>
    <t xml:space="preserve">Izvor 4.9. PRIHODI ZA POSEBNE NAMJENE PK - ŠKOLE - REZULTAT PRETH.GODINE </t>
  </si>
  <si>
    <t>Po programskoj, ekonomskoj i izvorima financiranja</t>
  </si>
  <si>
    <t xml:space="preserve">P O S E B N I   D I O </t>
  </si>
  <si>
    <t>PRIHODI I PRIMICI</t>
  </si>
  <si>
    <t>Račun prihoda / primitaka</t>
  </si>
  <si>
    <t>Naziv računa</t>
  </si>
  <si>
    <t>Indeks</t>
  </si>
  <si>
    <t>5=4/3*100</t>
  </si>
  <si>
    <t>Pomoći iz inozemstva i od subjekata unutar općeg proračuna</t>
  </si>
  <si>
    <t xml:space="preserve">Pomoći od međunarodnih organizacija te institucija i tijela EU           </t>
  </si>
  <si>
    <t xml:space="preserve">Tekuće pomoći od međunarodnih organizacija           </t>
  </si>
  <si>
    <t>Pomoći od izvanproračunskih korisnika</t>
  </si>
  <si>
    <t xml:space="preserve">Tekuće pomoći od izvanproračunskih korisnika </t>
  </si>
  <si>
    <t>Pomoći proračunskim korisnicima iz proračuna koji im nije nadležan</t>
  </si>
  <si>
    <t>Tekuće pomoći proračunskim korisnicima iz proračuna koji im nije nadležan</t>
  </si>
  <si>
    <t>Kapitalne pomoći proračunskim korisnicima iz proračuna koji im nije nadležan</t>
  </si>
  <si>
    <t xml:space="preserve">Prihodi od imovine                                                                                  </t>
  </si>
  <si>
    <t xml:space="preserve">Prihodi od financijske imovine                                                                      </t>
  </si>
  <si>
    <t xml:space="preserve">Kamate na oročena sredstva i depozite po viđenju         </t>
  </si>
  <si>
    <t xml:space="preserve">Prihodi od upravnih i administrativnih pristojbi, pristojbi po posebnim propisima i naknada         </t>
  </si>
  <si>
    <t xml:space="preserve">Prihodi po posebnim propisima                                                                       </t>
  </si>
  <si>
    <t xml:space="preserve">Ostali nespomenuti prihodi                                                                          </t>
  </si>
  <si>
    <t xml:space="preserve">Prihodi od prodaje proizvoda i robe te pruženih usluga i prihodi od donacija  </t>
  </si>
  <si>
    <t xml:space="preserve">Prihodi od prodaje proizvoda i robe te pruženih usluga                           </t>
  </si>
  <si>
    <t xml:space="preserve">Prihodi od pruženih usluga                                                                          </t>
  </si>
  <si>
    <t>Donacije od pravnih i fizičkih osoba izvan opće države</t>
  </si>
  <si>
    <t>Prihodi od nadležno proračuna i od HZZO-a temeljem ugovornih obveza</t>
  </si>
  <si>
    <t>Prihodi iz nadležnog proračuna za financ. redovne djelatn.proračun.korisnika</t>
  </si>
  <si>
    <t>Prihodi iz nadležnog proračuna za financiranje rashoda poslovanja</t>
  </si>
  <si>
    <t>Prihodi iz nadležnog proračuna za financiranje rashoda za nabavu nefinanc.imovine</t>
  </si>
  <si>
    <t xml:space="preserve">Kazne, upravne mjere i ostali prihodi                                                               </t>
  </si>
  <si>
    <t xml:space="preserve">Ostali prihodi                                                                                      </t>
  </si>
  <si>
    <t>UKUPNO Izvor financiranja Opći prihodi i primici</t>
  </si>
  <si>
    <t>UKUPNO Izvor financiranja Vlastiti prihodi</t>
  </si>
  <si>
    <t>UKUPNO Izvor financiranja Prihodi za posebne namjene</t>
  </si>
  <si>
    <t>UKUPNO Izvor financiranja Pomoći</t>
  </si>
  <si>
    <t>UKUPNO Izvor financiranja Donacije</t>
  </si>
  <si>
    <t>Višak prihoda poslovanja</t>
  </si>
  <si>
    <t>Rezultat poslovanja</t>
  </si>
  <si>
    <t>Višak/manjak prihoda</t>
  </si>
  <si>
    <t>UKUPNO Izvor financiranja Vlastiti prihodi - preneseni višak</t>
  </si>
  <si>
    <t>UKUPNO Izvor financiranja Prihodi za posebne namjene - preneseni višak</t>
  </si>
  <si>
    <t>KORIŠTENJE PRENESENOG VIŠKA</t>
  </si>
  <si>
    <t>UKUPNO Izvor financiranja Pomoći - preneseni višak</t>
  </si>
  <si>
    <t>Sveukupno prihodi</t>
  </si>
  <si>
    <t>Sveukupno preneseni višak</t>
  </si>
  <si>
    <t>Sveukupno prihodi + preneseni višak korišten za pokriće rashoda</t>
  </si>
  <si>
    <t>RASHODI I IZDACI</t>
  </si>
  <si>
    <t>PROGRAM 6000 REDOVNA DJELANOST OSNOVNOG ŠKOLSTVA</t>
  </si>
  <si>
    <t>Aktivnost A600001 Osnovna aktivnost osnovnog školstva</t>
  </si>
  <si>
    <t>Račun rashoda / izdataka</t>
  </si>
  <si>
    <t>Kapitalni projekt K600001 Nabava opreme u osnovnom školstvu</t>
  </si>
  <si>
    <t>Kapitalni projekt K600003 Nabava knjiga u osnovnom školstvu</t>
  </si>
  <si>
    <t>PROGRAM 7000 REDOVNA DJELANOST OSNOVNOG ŠKOLSTVA - IZNAD ZAKONSKOG STANDARDA</t>
  </si>
  <si>
    <t>Aktivnost A700001 Osnovna aktivnost osnovnog školstva</t>
  </si>
  <si>
    <t>Kapitalni projekt K700001 Nabava opreme u osnovnom školstvu</t>
  </si>
  <si>
    <t xml:space="preserve">7 Prihodi od prodaje nefinancijske imovine                                                            </t>
  </si>
  <si>
    <t>72 Prihodi od prodaje proizvedene dugotrajne imovine</t>
  </si>
  <si>
    <t>722 Prihodi od prodaje postrojenja i opreme</t>
  </si>
  <si>
    <t>7227 Uređaji, strojevi i oprema za ostale namjene</t>
  </si>
  <si>
    <t>Izvor 6.4. DONACIJE PK - ŠKOLE - REZULTAT PRETHODNE GODINE</t>
  </si>
  <si>
    <t>Prihodi od prodaje proizvedene dugotrajne imovine</t>
  </si>
  <si>
    <t>Prihodi od prodaje postrojenja i opreme</t>
  </si>
  <si>
    <t>Uređaji, strojevi i oprema za ostale namjene</t>
  </si>
  <si>
    <t>Izvor financiranja 1.1. Opći prihodi i primici</t>
  </si>
  <si>
    <t>Izvor financiranja 3.3. Vlastiti prihodi</t>
  </si>
  <si>
    <t>Izvor financiranja 4.5. Prihodi za posebne namjene</t>
  </si>
  <si>
    <t>Izvor financiranja 5.2. Pomoći</t>
  </si>
  <si>
    <t>Izvor financiranja 6.3. Donacije</t>
  </si>
  <si>
    <t>Izvor financiranja 3.4. Vlastiti prihodi - preneseni višak</t>
  </si>
  <si>
    <t>Izvor financiranja 4.9. Prihodi za posebne namjene - preneseni višak</t>
  </si>
  <si>
    <t>Izvor financiranja 5.5. Pomoći - preneseni višak</t>
  </si>
  <si>
    <t>Izvor financiranja 1.1. Opći prihodi i primici - DEC OŠ</t>
  </si>
  <si>
    <t xml:space="preserve">Izvor financiranja 1.0. Opći prihodi i primici </t>
  </si>
  <si>
    <t xml:space="preserve">Naknade građanima i kućanstvima na temelju osiguranja i druge naknade </t>
  </si>
  <si>
    <t xml:space="preserve">Ostale naknade građanima i kućanstvima iz proračuna  </t>
  </si>
  <si>
    <t xml:space="preserve">Naknade građanima i kućanstvima u naravi                                            </t>
  </si>
  <si>
    <t>Izvor financiranja 4.9. Prihodi za posebne namjene - rezultat prethodne godine</t>
  </si>
  <si>
    <t>Izvor financiranja 3.4. Vlastiti prihodi - rezultat prethodne godine</t>
  </si>
  <si>
    <t>Izvor financiranja 5.5. Pomoći - rezultat prethodne godine</t>
  </si>
  <si>
    <t>Izvor financiranja 4.9. Prihod za posebne namjene - rezultat prethodne godine</t>
  </si>
  <si>
    <t>Višak prihoda od nefinancijske imovine</t>
  </si>
  <si>
    <t>Rashodi prema funkcijskoj klasifikaciji</t>
  </si>
  <si>
    <t>Funkcijska klasifikacija SVEUKUPNI RASHODI</t>
  </si>
  <si>
    <t>Funkcijska klasifikacija 09 Obrazovanje</t>
  </si>
  <si>
    <t>Funkcijska klasifikacija 0912 Osnovno obrazovanje</t>
  </si>
  <si>
    <t xml:space="preserve">6322 Kapitalne pomoći od međunarodnih organizacija           </t>
  </si>
  <si>
    <t>381 Tekuće donacije</t>
  </si>
  <si>
    <t>3812 Tekuće donacije u naravi</t>
  </si>
  <si>
    <t xml:space="preserve">Kapitalne pomoći od međunarodnih organizacija           </t>
  </si>
  <si>
    <t>Tekuće donacije</t>
  </si>
  <si>
    <t>Tekuće donacije u naravi</t>
  </si>
  <si>
    <t xml:space="preserve">Doprinosi za obvezno zdravstveno osiguranje                                                  </t>
  </si>
  <si>
    <t>Kapitalni projekt K700003 Nabava knjiga u osnovnom školstvu</t>
  </si>
  <si>
    <t>Sveukupno rashodi</t>
  </si>
  <si>
    <t>Indeks 4/1</t>
  </si>
  <si>
    <t>Račun financiranja prema ekonomskoj klasifikaciji</t>
  </si>
  <si>
    <t>B. RAČUN ZADUŽIVANJA FINANCIRANJA</t>
  </si>
  <si>
    <t xml:space="preserve"> NETO FINANCIRANJE</t>
  </si>
  <si>
    <t>Račun financiranja prema izvorima</t>
  </si>
  <si>
    <t>KORIŠTENJE SREDSTAVA IZ PRETHODNIH GODINA</t>
  </si>
  <si>
    <t>Izvor financiranja 1.0. Opći prihodi i primici</t>
  </si>
  <si>
    <t>Sitni inventar i auto gume</t>
  </si>
  <si>
    <t>Usluge tekućeg i investicijskog održavanja</t>
  </si>
  <si>
    <t>Izvještaj o izvršenju financijskog plana  za 2025.g.</t>
  </si>
  <si>
    <t>Izvorni plan 2025.</t>
  </si>
  <si>
    <t>Tekući plan 2025.</t>
  </si>
  <si>
    <t>A. SAŽETAK RAČUNA PRIHODA I RASHODA</t>
  </si>
  <si>
    <t>RAZLIKA - VIŠAK / MANJAK</t>
  </si>
  <si>
    <t>B. SAŽETAK RAČUNA FINANCIRANJA</t>
  </si>
  <si>
    <t>RAZLIKA PRIMITAKA I IZDATAKA</t>
  </si>
  <si>
    <t>Funkcijska klasifikacija 096 Dodatne usluge u obrazovanju</t>
  </si>
  <si>
    <t>Aktivnost A700002 Osnovna aktivnost osnovnog školstva - MZOM</t>
  </si>
  <si>
    <t>Izvor financiranja 5.2. Pomoći - MZOM</t>
  </si>
  <si>
    <t>Tekući projekt T700001 Projekt "Petica za dvoje VIII. Faza"</t>
  </si>
  <si>
    <t xml:space="preserve">Izvor financiranja 5.2. Pomoći </t>
  </si>
  <si>
    <t>PRENESENI VIŠAK/MANJAK IZ PRETHODNE GODINE</t>
  </si>
  <si>
    <t>VIŠAK/MANJAK IZ PRETHODNE GODINE KOJI SE RASPOREDIO/POKRIO</t>
  </si>
  <si>
    <t>Za razdoblje od 01.01.2025. do 31.12.2025.</t>
  </si>
  <si>
    <t>Izvršenje 31.12.2024.</t>
  </si>
  <si>
    <t>Izvršenje 31.12.2025.</t>
  </si>
  <si>
    <t xml:space="preserve">Izvršenje 31.12.2025. </t>
  </si>
  <si>
    <t xml:space="preserve">Izvor financiranja 6.3. Donacije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</si>
</sst>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##\%"/>
    <numFmt numFmtId="165" formatCode="#,##0.000000"/>
  </numFmts>
  <fonts count="20" x14ac:knownFonts="1">
    <font>
      <sz val="10"/>
      <name val="Arial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color indexed="9"/>
      <name val="Arial"/>
      <family val="2"/>
      <charset val="238"/>
    </font>
    <font>
      <b/>
      <i/>
      <sz val="10"/>
      <color rgb="FF0000FF"/>
      <name val="Arial"/>
      <family val="2"/>
      <charset val="238"/>
    </font>
    <font>
      <b/>
      <i/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5">
    <border>
      <left/>
      <right/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indexed="64"/>
      </bottom>
      <diagonal/>
    </border>
    <border>
      <left/>
      <right style="thin">
        <color auto="1"/>
      </right>
      <top style="double">
        <color auto="1"/>
      </top>
      <bottom style="double">
        <color indexed="64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</borders>
  <cellStyleXfs count="2">
    <xf numFmtId="0" fontId="0" fillId="0" borderId="0"/>
    <xf numFmtId="0" fontId="10" fillId="0" borderId="0"/>
  </cellStyleXfs>
  <cellXfs count="498">
    <xf numFmtId="0" fontId="0" fillId="0" borderId="0" xfId="0"/>
    <xf numFmtId="0" fontId="3" fillId="0" borderId="0" xfId="0" applyFont="1"/>
    <xf numFmtId="0" fontId="6" fillId="0" borderId="0" xfId="0" applyFont="1"/>
    <xf numFmtId="0" fontId="8" fillId="0" borderId="0" xfId="0" applyFont="1"/>
    <xf numFmtId="4" fontId="1" fillId="0" borderId="0" xfId="0" applyNumberFormat="1" applyFont="1" applyBorder="1" applyAlignment="1" applyProtection="1">
      <alignment horizontal="right"/>
    </xf>
    <xf numFmtId="164" fontId="1" fillId="0" borderId="0" xfId="0" applyNumberFormat="1" applyFont="1" applyBorder="1" applyAlignment="1" applyProtection="1">
      <alignment horizontal="right"/>
    </xf>
    <xf numFmtId="0" fontId="1" fillId="0" borderId="0" xfId="0" applyFont="1"/>
    <xf numFmtId="0" fontId="4" fillId="0" borderId="0" xfId="0" applyFont="1"/>
    <xf numFmtId="0" fontId="0" fillId="0" borderId="0" xfId="0"/>
    <xf numFmtId="0" fontId="0" fillId="0" borderId="0" xfId="0"/>
    <xf numFmtId="0" fontId="0" fillId="0" borderId="0" xfId="0" applyFill="1"/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10" fillId="0" borderId="0" xfId="0" applyFont="1" applyFill="1"/>
    <xf numFmtId="0" fontId="10" fillId="0" borderId="0" xfId="0" applyFont="1" applyBorder="1" applyAlignment="1" applyProtection="1">
      <alignment horizontal="center"/>
    </xf>
    <xf numFmtId="4" fontId="1" fillId="0" borderId="5" xfId="0" applyNumberFormat="1" applyFont="1" applyFill="1" applyBorder="1" applyAlignment="1" applyProtection="1">
      <alignment horizontal="right"/>
    </xf>
    <xf numFmtId="0" fontId="11" fillId="0" borderId="10" xfId="0" applyFont="1" applyFill="1" applyBorder="1" applyAlignment="1">
      <alignment horizontal="left"/>
    </xf>
    <xf numFmtId="0" fontId="11" fillId="0" borderId="11" xfId="0" applyFont="1" applyFill="1" applyBorder="1" applyAlignment="1" applyProtection="1">
      <alignment horizontal="center"/>
    </xf>
    <xf numFmtId="0" fontId="11" fillId="0" borderId="12" xfId="0" applyFont="1" applyFill="1" applyBorder="1" applyAlignment="1" applyProtection="1">
      <alignment horizontal="center"/>
    </xf>
    <xf numFmtId="4" fontId="1" fillId="0" borderId="14" xfId="0" applyNumberFormat="1" applyFont="1" applyFill="1" applyBorder="1" applyAlignment="1" applyProtection="1">
      <alignment horizontal="right"/>
    </xf>
    <xf numFmtId="0" fontId="11" fillId="0" borderId="13" xfId="0" applyFont="1" applyFill="1" applyBorder="1"/>
    <xf numFmtId="0" fontId="11" fillId="0" borderId="4" xfId="0" applyFont="1" applyFill="1" applyBorder="1"/>
    <xf numFmtId="0" fontId="11" fillId="0" borderId="22" xfId="0" applyFont="1" applyFill="1" applyBorder="1"/>
    <xf numFmtId="4" fontId="1" fillId="0" borderId="29" xfId="0" applyNumberFormat="1" applyFont="1" applyFill="1" applyBorder="1" applyAlignment="1" applyProtection="1">
      <alignment horizontal="right"/>
    </xf>
    <xf numFmtId="1" fontId="1" fillId="0" borderId="5" xfId="0" applyNumberFormat="1" applyFont="1" applyFill="1" applyBorder="1" applyAlignment="1" applyProtection="1">
      <alignment horizontal="right"/>
    </xf>
    <xf numFmtId="1" fontId="1" fillId="0" borderId="6" xfId="0" applyNumberFormat="1" applyFont="1" applyFill="1" applyBorder="1" applyAlignment="1" applyProtection="1">
      <alignment horizontal="right"/>
    </xf>
    <xf numFmtId="1" fontId="1" fillId="0" borderId="14" xfId="0" applyNumberFormat="1" applyFont="1" applyFill="1" applyBorder="1" applyAlignment="1" applyProtection="1">
      <alignment horizontal="right"/>
    </xf>
    <xf numFmtId="1" fontId="1" fillId="0" borderId="15" xfId="0" applyNumberFormat="1" applyFont="1" applyFill="1" applyBorder="1" applyAlignment="1" applyProtection="1">
      <alignment horizontal="right"/>
    </xf>
    <xf numFmtId="1" fontId="1" fillId="0" borderId="29" xfId="0" applyNumberFormat="1" applyFont="1" applyFill="1" applyBorder="1" applyAlignment="1" applyProtection="1">
      <alignment horizontal="right"/>
    </xf>
    <xf numFmtId="1" fontId="1" fillId="0" borderId="30" xfId="0" applyNumberFormat="1" applyFont="1" applyFill="1" applyBorder="1" applyAlignment="1" applyProtection="1">
      <alignment horizontal="right"/>
    </xf>
    <xf numFmtId="1" fontId="11" fillId="0" borderId="20" xfId="0" applyNumberFormat="1" applyFont="1" applyFill="1" applyBorder="1" applyAlignment="1">
      <alignment horizontal="left"/>
    </xf>
    <xf numFmtId="1" fontId="11" fillId="0" borderId="21" xfId="0" applyNumberFormat="1" applyFont="1" applyFill="1" applyBorder="1" applyAlignment="1">
      <alignment horizontal="left"/>
    </xf>
    <xf numFmtId="1" fontId="11" fillId="0" borderId="5" xfId="0" applyNumberFormat="1" applyFont="1" applyFill="1" applyBorder="1" applyAlignment="1" applyProtection="1">
      <alignment horizontal="right"/>
    </xf>
    <xf numFmtId="1" fontId="11" fillId="0" borderId="6" xfId="0" applyNumberFormat="1" applyFont="1" applyFill="1" applyBorder="1" applyAlignment="1" applyProtection="1">
      <alignment horizontal="right"/>
    </xf>
    <xf numFmtId="1" fontId="11" fillId="0" borderId="14" xfId="0" applyNumberFormat="1" applyFont="1" applyFill="1" applyBorder="1" applyAlignment="1" applyProtection="1">
      <alignment horizontal="right"/>
    </xf>
    <xf numFmtId="1" fontId="11" fillId="0" borderId="15" xfId="0" applyNumberFormat="1" applyFont="1" applyFill="1" applyBorder="1" applyAlignment="1" applyProtection="1">
      <alignment horizontal="right"/>
    </xf>
    <xf numFmtId="1" fontId="11" fillId="0" borderId="26" xfId="0" applyNumberFormat="1" applyFont="1" applyFill="1" applyBorder="1" applyAlignment="1" applyProtection="1">
      <alignment horizontal="right"/>
    </xf>
    <xf numFmtId="1" fontId="11" fillId="0" borderId="27" xfId="0" applyNumberFormat="1" applyFont="1" applyFill="1" applyBorder="1" applyAlignment="1" applyProtection="1">
      <alignment horizontal="right"/>
    </xf>
    <xf numFmtId="1" fontId="11" fillId="0" borderId="17" xfId="0" applyNumberFormat="1" applyFont="1" applyFill="1" applyBorder="1" applyAlignment="1" applyProtection="1">
      <alignment horizontal="right"/>
    </xf>
    <xf numFmtId="1" fontId="11" fillId="0" borderId="18" xfId="0" applyNumberFormat="1" applyFont="1" applyFill="1" applyBorder="1" applyAlignment="1" applyProtection="1">
      <alignment horizontal="right"/>
    </xf>
    <xf numFmtId="0" fontId="10" fillId="0" borderId="0" xfId="0" applyFont="1"/>
    <xf numFmtId="0" fontId="4" fillId="0" borderId="1" xfId="0" applyFont="1" applyBorder="1"/>
    <xf numFmtId="0" fontId="0" fillId="0" borderId="1" xfId="0" applyBorder="1"/>
    <xf numFmtId="0" fontId="10" fillId="0" borderId="1" xfId="0" applyFont="1" applyBorder="1"/>
    <xf numFmtId="0" fontId="10" fillId="0" borderId="1" xfId="0" applyFont="1" applyBorder="1" applyAlignment="1">
      <alignment horizontal="left"/>
    </xf>
    <xf numFmtId="0" fontId="0" fillId="0" borderId="31" xfId="0" applyBorder="1"/>
    <xf numFmtId="0" fontId="5" fillId="0" borderId="7" xfId="0" applyFont="1" applyFill="1" applyBorder="1" applyAlignment="1">
      <alignment horizontal="center"/>
    </xf>
    <xf numFmtId="0" fontId="4" fillId="0" borderId="4" xfId="0" applyFont="1" applyBorder="1"/>
    <xf numFmtId="0" fontId="11" fillId="0" borderId="1" xfId="0" applyFont="1" applyBorder="1"/>
    <xf numFmtId="0" fontId="0" fillId="0" borderId="13" xfId="0" applyBorder="1"/>
    <xf numFmtId="0" fontId="4" fillId="0" borderId="25" xfId="0" applyFont="1" applyBorder="1"/>
    <xf numFmtId="0" fontId="4" fillId="0" borderId="19" xfId="0" applyFont="1" applyBorder="1"/>
    <xf numFmtId="0" fontId="10" fillId="0" borderId="13" xfId="0" applyFont="1" applyBorder="1" applyAlignment="1">
      <alignment horizontal="left"/>
    </xf>
    <xf numFmtId="4" fontId="10" fillId="0" borderId="14" xfId="0" applyNumberFormat="1" applyFont="1" applyBorder="1" applyAlignment="1" applyProtection="1">
      <alignment horizontal="right"/>
    </xf>
    <xf numFmtId="0" fontId="11" fillId="0" borderId="4" xfId="0" applyFont="1" applyBorder="1"/>
    <xf numFmtId="0" fontId="4" fillId="0" borderId="34" xfId="0" applyFont="1" applyBorder="1"/>
    <xf numFmtId="0" fontId="0" fillId="0" borderId="13" xfId="0" applyBorder="1" applyAlignment="1">
      <alignment wrapText="1"/>
    </xf>
    <xf numFmtId="0" fontId="10" fillId="0" borderId="13" xfId="0" applyFont="1" applyBorder="1"/>
    <xf numFmtId="0" fontId="4" fillId="0" borderId="25" xfId="0" applyFont="1" applyBorder="1" applyAlignment="1">
      <alignment wrapText="1"/>
    </xf>
    <xf numFmtId="0" fontId="11" fillId="0" borderId="25" xfId="0" applyFont="1" applyBorder="1"/>
    <xf numFmtId="0" fontId="4" fillId="0" borderId="37" xfId="0" applyFont="1" applyBorder="1"/>
    <xf numFmtId="0" fontId="11" fillId="0" borderId="34" xfId="0" applyFont="1" applyBorder="1"/>
    <xf numFmtId="0" fontId="10" fillId="0" borderId="4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" fontId="4" fillId="0" borderId="20" xfId="0" applyNumberFormat="1" applyFont="1" applyBorder="1" applyAlignment="1" applyProtection="1">
      <alignment horizontal="right"/>
    </xf>
    <xf numFmtId="1" fontId="4" fillId="0" borderId="21" xfId="0" applyNumberFormat="1" applyFont="1" applyBorder="1" applyAlignment="1" applyProtection="1">
      <alignment horizontal="right"/>
    </xf>
    <xf numFmtId="1" fontId="4" fillId="0" borderId="35" xfId="0" applyNumberFormat="1" applyFont="1" applyBorder="1" applyAlignment="1" applyProtection="1">
      <alignment horizontal="right"/>
    </xf>
    <xf numFmtId="1" fontId="4" fillId="0" borderId="36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/>
    </xf>
    <xf numFmtId="1" fontId="4" fillId="0" borderId="6" xfId="0" applyNumberFormat="1" applyFont="1" applyBorder="1" applyAlignment="1" applyProtection="1">
      <alignment horizontal="right"/>
    </xf>
    <xf numFmtId="1" fontId="0" fillId="0" borderId="2" xfId="0" applyNumberFormat="1" applyFont="1" applyBorder="1" applyAlignment="1" applyProtection="1">
      <alignment horizontal="right"/>
    </xf>
    <xf numFmtId="1" fontId="0" fillId="0" borderId="3" xfId="0" applyNumberFormat="1" applyFont="1" applyBorder="1" applyAlignment="1" applyProtection="1">
      <alignment horizontal="right"/>
    </xf>
    <xf numFmtId="1" fontId="4" fillId="0" borderId="2" xfId="0" applyNumberFormat="1" applyFont="1" applyBorder="1" applyAlignment="1" applyProtection="1">
      <alignment horizontal="right"/>
    </xf>
    <xf numFmtId="1" fontId="4" fillId="0" borderId="3" xfId="0" applyNumberFormat="1" applyFont="1" applyBorder="1" applyAlignment="1" applyProtection="1">
      <alignment horizontal="right"/>
    </xf>
    <xf numFmtId="1" fontId="0" fillId="0" borderId="14" xfId="0" applyNumberFormat="1" applyFont="1" applyBorder="1" applyAlignment="1" applyProtection="1">
      <alignment horizontal="right"/>
    </xf>
    <xf numFmtId="1" fontId="0" fillId="0" borderId="15" xfId="0" applyNumberFormat="1" applyFont="1" applyBorder="1" applyAlignment="1" applyProtection="1">
      <alignment horizontal="right"/>
    </xf>
    <xf numFmtId="1" fontId="4" fillId="0" borderId="26" xfId="0" applyNumberFormat="1" applyFont="1" applyBorder="1" applyAlignment="1" applyProtection="1">
      <alignment horizontal="right"/>
    </xf>
    <xf numFmtId="1" fontId="4" fillId="0" borderId="27" xfId="0" applyNumberFormat="1" applyFont="1" applyBorder="1" applyAlignment="1" applyProtection="1">
      <alignment horizontal="right"/>
    </xf>
    <xf numFmtId="1" fontId="11" fillId="0" borderId="26" xfId="0" applyNumberFormat="1" applyFont="1" applyBorder="1" applyAlignment="1" applyProtection="1">
      <alignment horizontal="right"/>
    </xf>
    <xf numFmtId="1" fontId="11" fillId="0" borderId="27" xfId="0" applyNumberFormat="1" applyFont="1" applyBorder="1" applyAlignment="1" applyProtection="1">
      <alignment horizontal="right"/>
    </xf>
    <xf numFmtId="1" fontId="11" fillId="0" borderId="5" xfId="0" applyNumberFormat="1" applyFont="1" applyBorder="1" applyAlignment="1" applyProtection="1">
      <alignment horizontal="right"/>
    </xf>
    <xf numFmtId="1" fontId="11" fillId="0" borderId="6" xfId="0" applyNumberFormat="1" applyFont="1" applyBorder="1" applyAlignment="1" applyProtection="1">
      <alignment horizontal="right"/>
    </xf>
    <xf numFmtId="1" fontId="0" fillId="0" borderId="41" xfId="0" applyNumberFormat="1" applyFont="1" applyBorder="1" applyAlignment="1" applyProtection="1">
      <alignment horizontal="right"/>
    </xf>
    <xf numFmtId="1" fontId="0" fillId="0" borderId="42" xfId="0" applyNumberFormat="1" applyFont="1" applyBorder="1" applyAlignment="1" applyProtection="1">
      <alignment horizontal="right"/>
    </xf>
    <xf numFmtId="1" fontId="4" fillId="0" borderId="38" xfId="0" applyNumberFormat="1" applyFont="1" applyBorder="1" applyAlignment="1" applyProtection="1">
      <alignment horizontal="right"/>
    </xf>
    <xf numFmtId="1" fontId="4" fillId="0" borderId="39" xfId="0" applyNumberFormat="1" applyFont="1" applyBorder="1" applyAlignment="1" applyProtection="1">
      <alignment horizontal="right"/>
    </xf>
    <xf numFmtId="1" fontId="10" fillId="0" borderId="14" xfId="0" applyNumberFormat="1" applyFont="1" applyBorder="1" applyAlignment="1" applyProtection="1">
      <alignment horizontal="right"/>
    </xf>
    <xf numFmtId="1" fontId="10" fillId="0" borderId="15" xfId="0" applyNumberFormat="1" applyFont="1" applyBorder="1" applyAlignment="1" applyProtection="1">
      <alignment horizontal="right"/>
    </xf>
    <xf numFmtId="1" fontId="0" fillId="0" borderId="32" xfId="0" applyNumberFormat="1" applyFont="1" applyBorder="1" applyAlignment="1" applyProtection="1">
      <alignment horizontal="right"/>
    </xf>
    <xf numFmtId="1" fontId="0" fillId="0" borderId="33" xfId="0" applyNumberFormat="1" applyFont="1" applyBorder="1" applyAlignment="1" applyProtection="1">
      <alignment horizontal="right"/>
    </xf>
    <xf numFmtId="0" fontId="14" fillId="0" borderId="0" xfId="0" applyFont="1" applyFill="1"/>
    <xf numFmtId="0" fontId="14" fillId="0" borderId="0" xfId="0" applyFont="1"/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 applyFill="1"/>
    <xf numFmtId="0" fontId="1" fillId="0" borderId="0" xfId="0" applyFont="1" applyFill="1"/>
    <xf numFmtId="0" fontId="13" fillId="0" borderId="0" xfId="0" applyFont="1" applyFill="1"/>
    <xf numFmtId="0" fontId="12" fillId="0" borderId="0" xfId="0" applyFont="1" applyBorder="1" applyAlignment="1" applyProtection="1">
      <alignment horizontal="center"/>
    </xf>
    <xf numFmtId="0" fontId="0" fillId="0" borderId="0" xfId="0"/>
    <xf numFmtId="0" fontId="15" fillId="0" borderId="0" xfId="0" applyFont="1" applyFill="1"/>
    <xf numFmtId="0" fontId="12" fillId="0" borderId="0" xfId="0" applyFont="1" applyFill="1"/>
    <xf numFmtId="0" fontId="12" fillId="0" borderId="20" xfId="0" applyFont="1" applyFill="1" applyBorder="1"/>
    <xf numFmtId="0" fontId="10" fillId="0" borderId="14" xfId="0" applyFont="1" applyFill="1" applyBorder="1"/>
    <xf numFmtId="0" fontId="3" fillId="0" borderId="0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/>
    <xf numFmtId="0" fontId="12" fillId="0" borderId="0" xfId="0" applyFont="1" applyBorder="1" applyAlignment="1" applyProtection="1">
      <alignment horizontal="left"/>
    </xf>
    <xf numFmtId="0" fontId="10" fillId="0" borderId="2" xfId="0" applyFont="1" applyBorder="1"/>
    <xf numFmtId="0" fontId="0" fillId="0" borderId="2" xfId="0" applyBorder="1" applyAlignment="1">
      <alignment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32" xfId="0" applyBorder="1" applyAlignment="1">
      <alignment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1" fillId="0" borderId="5" xfId="0" applyFont="1" applyBorder="1"/>
    <xf numFmtId="0" fontId="10" fillId="0" borderId="2" xfId="0" applyFont="1" applyBorder="1" applyAlignment="1">
      <alignment wrapText="1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left"/>
    </xf>
    <xf numFmtId="0" fontId="12" fillId="0" borderId="0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left"/>
    </xf>
    <xf numFmtId="0" fontId="1" fillId="0" borderId="56" xfId="0" applyFont="1" applyBorder="1"/>
    <xf numFmtId="0" fontId="4" fillId="0" borderId="55" xfId="0" applyFont="1" applyBorder="1" applyAlignment="1">
      <alignment horizontal="center"/>
    </xf>
    <xf numFmtId="0" fontId="10" fillId="0" borderId="14" xfId="0" applyFont="1" applyBorder="1"/>
    <xf numFmtId="0" fontId="4" fillId="0" borderId="25" xfId="0" applyFont="1" applyBorder="1" applyAlignment="1">
      <alignment horizontal="center" wrapText="1"/>
    </xf>
    <xf numFmtId="0" fontId="1" fillId="0" borderId="26" xfId="0" applyFont="1" applyBorder="1" applyAlignment="1">
      <alignment wrapText="1"/>
    </xf>
    <xf numFmtId="0" fontId="0" fillId="0" borderId="13" xfId="0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1" fillId="0" borderId="26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" fillId="0" borderId="63" xfId="0" applyFont="1" applyFill="1" applyBorder="1" applyAlignment="1" applyProtection="1">
      <alignment horizontal="left"/>
    </xf>
    <xf numFmtId="0" fontId="1" fillId="0" borderId="63" xfId="0" applyFont="1" applyFill="1" applyBorder="1"/>
    <xf numFmtId="4" fontId="1" fillId="0" borderId="63" xfId="0" applyNumberFormat="1" applyFont="1" applyFill="1" applyBorder="1" applyAlignment="1" applyProtection="1">
      <alignment horizontal="right"/>
    </xf>
    <xf numFmtId="1" fontId="1" fillId="0" borderId="63" xfId="0" applyNumberFormat="1" applyFont="1" applyFill="1" applyBorder="1" applyAlignment="1" applyProtection="1">
      <alignment horizontal="right"/>
    </xf>
    <xf numFmtId="0" fontId="17" fillId="0" borderId="64" xfId="0" applyFont="1" applyBorder="1" applyAlignment="1">
      <alignment horizontal="center"/>
    </xf>
    <xf numFmtId="0" fontId="17" fillId="0" borderId="65" xfId="0" applyFont="1" applyBorder="1" applyAlignment="1">
      <alignment horizontal="center"/>
    </xf>
    <xf numFmtId="0" fontId="17" fillId="0" borderId="0" xfId="0" applyFont="1"/>
    <xf numFmtId="0" fontId="17" fillId="0" borderId="53" xfId="0" applyFont="1" applyBorder="1" applyAlignment="1">
      <alignment horizontal="center"/>
    </xf>
    <xf numFmtId="0" fontId="17" fillId="0" borderId="54" xfId="0" applyFont="1" applyBorder="1" applyAlignment="1">
      <alignment horizontal="center"/>
    </xf>
    <xf numFmtId="0" fontId="17" fillId="0" borderId="66" xfId="0" applyFont="1" applyBorder="1" applyAlignment="1">
      <alignment horizontal="center"/>
    </xf>
    <xf numFmtId="0" fontId="17" fillId="0" borderId="67" xfId="0" applyFont="1" applyBorder="1" applyAlignment="1">
      <alignment horizontal="center"/>
    </xf>
    <xf numFmtId="0" fontId="0" fillId="0" borderId="0" xfId="0" applyAlignment="1">
      <alignment horizontal="left"/>
    </xf>
    <xf numFmtId="0" fontId="17" fillId="0" borderId="62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4" fontId="10" fillId="0" borderId="2" xfId="0" applyNumberFormat="1" applyFont="1" applyBorder="1" applyAlignment="1"/>
    <xf numFmtId="4" fontId="1" fillId="0" borderId="2" xfId="0" applyNumberFormat="1" applyFont="1" applyBorder="1" applyAlignment="1"/>
    <xf numFmtId="0" fontId="4" fillId="0" borderId="68" xfId="0" applyFont="1" applyBorder="1"/>
    <xf numFmtId="1" fontId="4" fillId="0" borderId="69" xfId="0" applyNumberFormat="1" applyFont="1" applyBorder="1" applyAlignment="1" applyProtection="1">
      <alignment horizontal="right"/>
    </xf>
    <xf numFmtId="1" fontId="4" fillId="0" borderId="70" xfId="0" applyNumberFormat="1" applyFont="1" applyBorder="1" applyAlignment="1" applyProtection="1">
      <alignment horizontal="right"/>
    </xf>
    <xf numFmtId="0" fontId="1" fillId="0" borderId="10" xfId="0" applyFont="1" applyFill="1" applyBorder="1" applyAlignment="1">
      <alignment horizontal="center"/>
    </xf>
    <xf numFmtId="0" fontId="12" fillId="0" borderId="25" xfId="0" applyFont="1" applyFill="1" applyBorder="1"/>
    <xf numFmtId="4" fontId="12" fillId="0" borderId="26" xfId="0" applyNumberFormat="1" applyFont="1" applyFill="1" applyBorder="1" applyAlignment="1" applyProtection="1">
      <alignment horizontal="right"/>
    </xf>
    <xf numFmtId="1" fontId="12" fillId="0" borderId="26" xfId="0" applyNumberFormat="1" applyFont="1" applyFill="1" applyBorder="1" applyAlignment="1" applyProtection="1">
      <alignment horizontal="right"/>
    </xf>
    <xf numFmtId="1" fontId="12" fillId="0" borderId="27" xfId="0" applyNumberFormat="1" applyFont="1" applyFill="1" applyBorder="1" applyAlignment="1" applyProtection="1">
      <alignment horizontal="right"/>
    </xf>
    <xf numFmtId="0" fontId="12" fillId="0" borderId="28" xfId="0" applyFont="1" applyBorder="1" applyAlignment="1">
      <alignment horizontal="center"/>
    </xf>
    <xf numFmtId="4" fontId="12" fillId="0" borderId="29" xfId="0" applyNumberFormat="1" applyFont="1" applyBorder="1" applyAlignment="1" applyProtection="1">
      <alignment horizontal="right"/>
    </xf>
    <xf numFmtId="1" fontId="12" fillId="0" borderId="29" xfId="0" applyNumberFormat="1" applyFont="1" applyBorder="1" applyAlignment="1" applyProtection="1">
      <alignment horizontal="center"/>
    </xf>
    <xf numFmtId="1" fontId="12" fillId="0" borderId="30" xfId="0" applyNumberFormat="1" applyFont="1" applyBorder="1" applyAlignment="1" applyProtection="1">
      <alignment horizontal="center"/>
    </xf>
    <xf numFmtId="0" fontId="12" fillId="0" borderId="0" xfId="0" applyFont="1" applyAlignment="1">
      <alignment horizontal="center"/>
    </xf>
    <xf numFmtId="0" fontId="12" fillId="0" borderId="19" xfId="0" applyFont="1" applyBorder="1"/>
    <xf numFmtId="4" fontId="12" fillId="0" borderId="20" xfId="0" applyNumberFormat="1" applyFont="1" applyBorder="1" applyAlignment="1" applyProtection="1">
      <alignment horizontal="right"/>
    </xf>
    <xf numFmtId="1" fontId="12" fillId="0" borderId="20" xfId="0" applyNumberFormat="1" applyFont="1" applyBorder="1" applyAlignment="1" applyProtection="1">
      <alignment horizontal="right"/>
    </xf>
    <xf numFmtId="1" fontId="12" fillId="0" borderId="21" xfId="0" applyNumberFormat="1" applyFont="1" applyBorder="1" applyAlignment="1" applyProtection="1">
      <alignment horizontal="right"/>
    </xf>
    <xf numFmtId="0" fontId="15" fillId="0" borderId="0" xfId="0" applyFont="1"/>
    <xf numFmtId="0" fontId="18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3" fontId="0" fillId="0" borderId="0" xfId="0" applyNumberFormat="1"/>
    <xf numFmtId="3" fontId="12" fillId="0" borderId="0" xfId="0" applyNumberFormat="1" applyFont="1" applyBorder="1" applyAlignment="1" applyProtection="1"/>
    <xf numFmtId="3" fontId="12" fillId="0" borderId="0" xfId="0" applyNumberFormat="1" applyFont="1" applyBorder="1" applyAlignment="1" applyProtection="1">
      <alignment horizontal="center"/>
    </xf>
    <xf numFmtId="3" fontId="1" fillId="0" borderId="9" xfId="0" applyNumberFormat="1" applyFont="1" applyBorder="1" applyAlignment="1">
      <alignment horizontal="center"/>
    </xf>
    <xf numFmtId="3" fontId="11" fillId="0" borderId="57" xfId="0" applyNumberFormat="1" applyFont="1" applyBorder="1" applyAlignment="1" applyProtection="1">
      <alignment horizontal="right"/>
    </xf>
    <xf numFmtId="3" fontId="11" fillId="0" borderId="6" xfId="0" applyNumberFormat="1" applyFont="1" applyBorder="1" applyAlignment="1" applyProtection="1">
      <alignment horizontal="right"/>
    </xf>
    <xf numFmtId="3" fontId="0" fillId="0" borderId="3" xfId="0" applyNumberFormat="1" applyFont="1" applyBorder="1" applyAlignment="1" applyProtection="1">
      <alignment horizontal="right"/>
    </xf>
    <xf numFmtId="3" fontId="0" fillId="0" borderId="15" xfId="0" applyNumberFormat="1" applyFont="1" applyBorder="1" applyAlignment="1" applyProtection="1">
      <alignment horizontal="right"/>
    </xf>
    <xf numFmtId="3" fontId="12" fillId="0" borderId="61" xfId="0" applyNumberFormat="1" applyFont="1" applyBorder="1" applyAlignment="1" applyProtection="1">
      <alignment horizontal="right"/>
    </xf>
    <xf numFmtId="3" fontId="0" fillId="0" borderId="0" xfId="0" applyNumberFormat="1" applyFont="1" applyBorder="1" applyAlignment="1" applyProtection="1">
      <alignment horizontal="right"/>
    </xf>
    <xf numFmtId="3" fontId="4" fillId="0" borderId="57" xfId="0" applyNumberFormat="1" applyFont="1" applyBorder="1" applyAlignment="1" applyProtection="1">
      <alignment horizontal="right"/>
    </xf>
    <xf numFmtId="3" fontId="4" fillId="0" borderId="6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 applyProtection="1">
      <alignment horizontal="right"/>
    </xf>
    <xf numFmtId="3" fontId="4" fillId="0" borderId="27" xfId="0" applyNumberFormat="1" applyFont="1" applyBorder="1" applyAlignment="1" applyProtection="1">
      <alignment horizontal="right"/>
    </xf>
    <xf numFmtId="3" fontId="4" fillId="0" borderId="3" xfId="0" applyNumberFormat="1" applyFont="1" applyBorder="1" applyAlignment="1" applyProtection="1">
      <alignment horizontal="right"/>
    </xf>
    <xf numFmtId="3" fontId="12" fillId="0" borderId="62" xfId="0" applyNumberFormat="1" applyFont="1" applyBorder="1" applyAlignment="1" applyProtection="1">
      <alignment horizontal="right"/>
    </xf>
    <xf numFmtId="3" fontId="17" fillId="0" borderId="45" xfId="0" applyNumberFormat="1" applyFont="1" applyBorder="1" applyAlignment="1" applyProtection="1">
      <alignment horizontal="right"/>
    </xf>
    <xf numFmtId="3" fontId="17" fillId="0" borderId="3" xfId="0" applyNumberFormat="1" applyFont="1" applyBorder="1" applyAlignment="1" applyProtection="1">
      <alignment horizontal="right"/>
    </xf>
    <xf numFmtId="3" fontId="17" fillId="0" borderId="33" xfId="0" applyNumberFormat="1" applyFont="1" applyBorder="1" applyAlignment="1" applyProtection="1">
      <alignment horizontal="right"/>
    </xf>
    <xf numFmtId="3" fontId="17" fillId="0" borderId="62" xfId="0" applyNumberFormat="1" applyFont="1" applyBorder="1" applyAlignment="1" applyProtection="1">
      <alignment horizontal="right"/>
    </xf>
    <xf numFmtId="3" fontId="12" fillId="0" borderId="0" xfId="0" applyNumberFormat="1" applyFont="1" applyBorder="1" applyAlignment="1">
      <alignment horizontal="center"/>
    </xf>
    <xf numFmtId="3" fontId="1" fillId="0" borderId="3" xfId="0" applyNumberFormat="1" applyFont="1" applyBorder="1" applyAlignment="1">
      <alignment horizontal="right"/>
    </xf>
    <xf numFmtId="3" fontId="10" fillId="0" borderId="3" xfId="0" applyNumberFormat="1" applyFont="1" applyBorder="1" applyAlignment="1">
      <alignment horizontal="right"/>
    </xf>
    <xf numFmtId="3" fontId="0" fillId="0" borderId="3" xfId="0" applyNumberFormat="1" applyBorder="1" applyAlignment="1">
      <alignment horizontal="right"/>
    </xf>
    <xf numFmtId="3" fontId="0" fillId="0" borderId="33" xfId="0" applyNumberFormat="1" applyBorder="1" applyAlignment="1">
      <alignment horizontal="righ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8" xfId="0" applyFont="1" applyFill="1" applyBorder="1" applyAlignment="1">
      <alignment horizontal="center"/>
    </xf>
    <xf numFmtId="0" fontId="1" fillId="0" borderId="34" xfId="0" applyFont="1" applyBorder="1"/>
    <xf numFmtId="0" fontId="1" fillId="0" borderId="4" xfId="0" applyFont="1" applyBorder="1"/>
    <xf numFmtId="0" fontId="10" fillId="0" borderId="24" xfId="0" applyFont="1" applyBorder="1"/>
    <xf numFmtId="1" fontId="0" fillId="0" borderId="46" xfId="0" applyNumberFormat="1" applyFont="1" applyBorder="1" applyAlignment="1" applyProtection="1">
      <alignment horizontal="right"/>
    </xf>
    <xf numFmtId="1" fontId="0" fillId="0" borderId="47" xfId="0" applyNumberFormat="1" applyFont="1" applyBorder="1" applyAlignment="1" applyProtection="1">
      <alignment horizontal="right"/>
    </xf>
    <xf numFmtId="0" fontId="12" fillId="0" borderId="71" xfId="0" applyFont="1" applyBorder="1"/>
    <xf numFmtId="4" fontId="12" fillId="0" borderId="72" xfId="0" applyNumberFormat="1" applyFont="1" applyBorder="1" applyAlignment="1" applyProtection="1">
      <alignment horizontal="right"/>
    </xf>
    <xf numFmtId="1" fontId="12" fillId="0" borderId="72" xfId="0" applyNumberFormat="1" applyFont="1" applyBorder="1" applyAlignment="1" applyProtection="1">
      <alignment horizontal="right"/>
    </xf>
    <xf numFmtId="1" fontId="12" fillId="0" borderId="73" xfId="0" applyNumberFormat="1" applyFont="1" applyBorder="1" applyAlignment="1" applyProtection="1">
      <alignment horizontal="right"/>
    </xf>
    <xf numFmtId="0" fontId="0" fillId="0" borderId="24" xfId="0" applyBorder="1"/>
    <xf numFmtId="0" fontId="1" fillId="0" borderId="71" xfId="0" applyFont="1" applyFill="1" applyBorder="1" applyAlignment="1">
      <alignment horizontal="center"/>
    </xf>
    <xf numFmtId="0" fontId="11" fillId="0" borderId="72" xfId="0" applyFont="1" applyFill="1" applyBorder="1" applyAlignment="1" applyProtection="1">
      <alignment horizontal="center"/>
    </xf>
    <xf numFmtId="0" fontId="11" fillId="0" borderId="73" xfId="0" applyFont="1" applyFill="1" applyBorder="1" applyAlignment="1" applyProtection="1">
      <alignment horizontal="center"/>
    </xf>
    <xf numFmtId="4" fontId="10" fillId="0" borderId="29" xfId="0" applyNumberFormat="1" applyFont="1" applyFill="1" applyBorder="1" applyAlignment="1" applyProtection="1">
      <alignment horizontal="right"/>
    </xf>
    <xf numFmtId="1" fontId="10" fillId="0" borderId="29" xfId="0" applyNumberFormat="1" applyFont="1" applyFill="1" applyBorder="1" applyAlignment="1" applyProtection="1">
      <alignment horizontal="right"/>
    </xf>
    <xf numFmtId="0" fontId="1" fillId="0" borderId="4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0" fillId="0" borderId="0" xfId="0" applyBorder="1"/>
    <xf numFmtId="0" fontId="12" fillId="0" borderId="0" xfId="0" applyFont="1" applyBorder="1"/>
    <xf numFmtId="0" fontId="1" fillId="0" borderId="75" xfId="0" applyFont="1" applyBorder="1" applyAlignment="1">
      <alignment horizontal="center"/>
    </xf>
    <xf numFmtId="0" fontId="1" fillId="0" borderId="75" xfId="0" applyFont="1" applyBorder="1"/>
    <xf numFmtId="0" fontId="0" fillId="0" borderId="40" xfId="0" applyBorder="1" applyAlignment="1">
      <alignment horizontal="center"/>
    </xf>
    <xf numFmtId="0" fontId="10" fillId="0" borderId="41" xfId="0" applyFont="1" applyBorder="1"/>
    <xf numFmtId="3" fontId="0" fillId="0" borderId="42" xfId="0" applyNumberFormat="1" applyFont="1" applyBorder="1" applyAlignment="1" applyProtection="1">
      <alignment horizontal="right"/>
    </xf>
    <xf numFmtId="0" fontId="10" fillId="0" borderId="31" xfId="0" applyFont="1" applyBorder="1" applyAlignment="1">
      <alignment horizontal="center"/>
    </xf>
    <xf numFmtId="0" fontId="10" fillId="0" borderId="32" xfId="0" applyFont="1" applyBorder="1"/>
    <xf numFmtId="1" fontId="4" fillId="0" borderId="74" xfId="0" applyNumberFormat="1" applyFont="1" applyBorder="1" applyAlignment="1" applyProtection="1">
      <alignment horizontal="right"/>
    </xf>
    <xf numFmtId="1" fontId="0" fillId="0" borderId="74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" fontId="4" fillId="0" borderId="77" xfId="0" applyNumberFormat="1" applyFont="1" applyBorder="1" applyAlignment="1" applyProtection="1">
      <alignment horizontal="right"/>
    </xf>
    <xf numFmtId="0" fontId="12" fillId="0" borderId="34" xfId="0" applyFont="1" applyFill="1" applyBorder="1"/>
    <xf numFmtId="4" fontId="12" fillId="0" borderId="35" xfId="0" applyNumberFormat="1" applyFont="1" applyFill="1" applyBorder="1" applyAlignment="1" applyProtection="1">
      <alignment horizontal="right"/>
    </xf>
    <xf numFmtId="1" fontId="12" fillId="0" borderId="35" xfId="0" applyNumberFormat="1" applyFont="1" applyFill="1" applyBorder="1" applyAlignment="1" applyProtection="1">
      <alignment horizontal="right"/>
    </xf>
    <xf numFmtId="1" fontId="12" fillId="0" borderId="36" xfId="0" applyNumberFormat="1" applyFont="1" applyFill="1" applyBorder="1" applyAlignment="1" applyProtection="1">
      <alignment horizontal="right"/>
    </xf>
    <xf numFmtId="0" fontId="10" fillId="0" borderId="28" xfId="0" applyFont="1" applyFill="1" applyBorder="1"/>
    <xf numFmtId="1" fontId="10" fillId="0" borderId="30" xfId="0" applyNumberFormat="1" applyFont="1" applyFill="1" applyBorder="1" applyAlignment="1" applyProtection="1">
      <alignment horizontal="right"/>
    </xf>
    <xf numFmtId="4" fontId="10" fillId="0" borderId="79" xfId="0" applyNumberFormat="1" applyFont="1" applyFill="1" applyBorder="1" applyAlignment="1" applyProtection="1">
      <alignment horizontal="right"/>
    </xf>
    <xf numFmtId="4" fontId="15" fillId="0" borderId="0" xfId="0" applyNumberFormat="1" applyFont="1" applyFill="1"/>
    <xf numFmtId="4" fontId="0" fillId="0" borderId="0" xfId="0" applyNumberFormat="1" applyFill="1"/>
    <xf numFmtId="4" fontId="0" fillId="0" borderId="0" xfId="0" applyNumberFormat="1"/>
    <xf numFmtId="4" fontId="3" fillId="0" borderId="0" xfId="0" applyNumberFormat="1" applyFont="1"/>
    <xf numFmtId="4" fontId="10" fillId="0" borderId="0" xfId="0" applyNumberFormat="1" applyFont="1" applyFill="1"/>
    <xf numFmtId="4" fontId="14" fillId="0" borderId="0" xfId="0" applyNumberFormat="1" applyFont="1" applyFill="1"/>
    <xf numFmtId="0" fontId="13" fillId="0" borderId="20" xfId="0" applyFont="1" applyFill="1" applyBorder="1" applyAlignment="1">
      <alignment horizontal="left"/>
    </xf>
    <xf numFmtId="4" fontId="13" fillId="0" borderId="0" xfId="0" applyNumberFormat="1" applyFont="1" applyBorder="1" applyAlignment="1" applyProtection="1">
      <alignment horizontal="right"/>
    </xf>
    <xf numFmtId="4" fontId="6" fillId="0" borderId="0" xfId="0" applyNumberFormat="1" applyFont="1"/>
    <xf numFmtId="4" fontId="15" fillId="0" borderId="0" xfId="0" applyNumberFormat="1" applyFont="1"/>
    <xf numFmtId="4" fontId="12" fillId="0" borderId="0" xfId="0" applyNumberFormat="1" applyFont="1" applyAlignment="1">
      <alignment horizontal="center"/>
    </xf>
    <xf numFmtId="4" fontId="10" fillId="0" borderId="0" xfId="0" applyNumberFormat="1" applyFont="1"/>
    <xf numFmtId="0" fontId="5" fillId="0" borderId="8" xfId="0" applyFont="1" applyFill="1" applyBorder="1" applyAlignment="1">
      <alignment horizontal="center" wrapText="1"/>
    </xf>
    <xf numFmtId="0" fontId="5" fillId="0" borderId="9" xfId="0" applyFont="1" applyFill="1" applyBorder="1" applyAlignment="1">
      <alignment horizontal="center" wrapText="1"/>
    </xf>
    <xf numFmtId="4" fontId="8" fillId="0" borderId="0" xfId="0" applyNumberFormat="1" applyFont="1"/>
    <xf numFmtId="4" fontId="1" fillId="0" borderId="0" xfId="0" applyNumberFormat="1" applyFont="1" applyFill="1"/>
    <xf numFmtId="4" fontId="12" fillId="0" borderId="0" xfId="0" applyNumberFormat="1" applyFont="1" applyFill="1"/>
    <xf numFmtId="4" fontId="13" fillId="0" borderId="0" xfId="0" applyNumberFormat="1" applyFont="1" applyFill="1"/>
    <xf numFmtId="4" fontId="18" fillId="0" borderId="0" xfId="0" applyNumberFormat="1" applyFont="1"/>
    <xf numFmtId="4" fontId="14" fillId="0" borderId="0" xfId="0" applyNumberFormat="1" applyFont="1"/>
    <xf numFmtId="0" fontId="0" fillId="0" borderId="0" xfId="0" applyFill="1" applyBorder="1"/>
    <xf numFmtId="4" fontId="0" fillId="0" borderId="0" xfId="0" applyNumberFormat="1" applyFill="1" applyBorder="1"/>
    <xf numFmtId="0" fontId="10" fillId="0" borderId="0" xfId="0" applyFont="1" applyFill="1" applyBorder="1"/>
    <xf numFmtId="4" fontId="10" fillId="0" borderId="0" xfId="0" applyNumberFormat="1" applyFont="1" applyFill="1" applyBorder="1"/>
    <xf numFmtId="4" fontId="11" fillId="0" borderId="0" xfId="0" applyNumberFormat="1" applyFont="1" applyFill="1" applyBorder="1" applyAlignment="1" applyProtection="1">
      <alignment horizontal="right"/>
    </xf>
    <xf numFmtId="4" fontId="14" fillId="0" borderId="0" xfId="0" applyNumberFormat="1" applyFont="1" applyFill="1" applyBorder="1"/>
    <xf numFmtId="4" fontId="15" fillId="0" borderId="0" xfId="0" applyNumberFormat="1" applyFont="1" applyFill="1" applyBorder="1"/>
    <xf numFmtId="4" fontId="19" fillId="0" borderId="0" xfId="0" applyNumberFormat="1" applyFont="1" applyFill="1" applyBorder="1"/>
    <xf numFmtId="165" fontId="10" fillId="0" borderId="0" xfId="0" applyNumberFormat="1" applyFont="1" applyFill="1" applyBorder="1"/>
    <xf numFmtId="4" fontId="0" fillId="0" borderId="0" xfId="0" applyNumberFormat="1" applyBorder="1"/>
    <xf numFmtId="0" fontId="12" fillId="0" borderId="0" xfId="0" applyFont="1" applyBorder="1" applyAlignment="1" applyProtection="1">
      <alignment horizontal="center"/>
    </xf>
    <xf numFmtId="0" fontId="1" fillId="0" borderId="20" xfId="0" applyFont="1" applyFill="1" applyBorder="1" applyAlignment="1">
      <alignment horizontal="left"/>
    </xf>
    <xf numFmtId="0" fontId="17" fillId="0" borderId="51" xfId="0" applyFont="1" applyBorder="1" applyAlignment="1">
      <alignment horizontal="center"/>
    </xf>
    <xf numFmtId="0" fontId="17" fillId="0" borderId="52" xfId="0" applyFont="1" applyBorder="1" applyAlignment="1">
      <alignment horizontal="center"/>
    </xf>
    <xf numFmtId="3" fontId="17" fillId="0" borderId="9" xfId="0" applyNumberFormat="1" applyFont="1" applyBorder="1" applyAlignment="1" applyProtection="1">
      <alignment horizontal="right"/>
    </xf>
    <xf numFmtId="0" fontId="1" fillId="0" borderId="8" xfId="0" applyFont="1" applyFill="1" applyBorder="1" applyAlignment="1">
      <alignment horizontal="center" wrapText="1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12" fillId="0" borderId="0" xfId="0" applyFont="1" applyBorder="1" applyAlignment="1">
      <alignment horizontal="center"/>
    </xf>
    <xf numFmtId="0" fontId="10" fillId="0" borderId="0" xfId="1"/>
    <xf numFmtId="0" fontId="3" fillId="0" borderId="0" xfId="1" applyFont="1"/>
    <xf numFmtId="0" fontId="3" fillId="0" borderId="0" xfId="1" applyFont="1" applyAlignment="1"/>
    <xf numFmtId="0" fontId="1" fillId="0" borderId="0" xfId="1" applyFont="1" applyBorder="1" applyAlignment="1" applyProtection="1">
      <alignment vertical="center"/>
    </xf>
    <xf numFmtId="0" fontId="10" fillId="0" borderId="0" xfId="1" applyFont="1" applyBorder="1" applyAlignment="1" applyProtection="1">
      <alignment horizontal="center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0" fillId="0" borderId="0" xfId="1" applyFill="1"/>
    <xf numFmtId="0" fontId="1" fillId="0" borderId="10" xfId="1" applyFont="1" applyFill="1" applyBorder="1" applyAlignment="1">
      <alignment horizontal="left"/>
    </xf>
    <xf numFmtId="0" fontId="1" fillId="0" borderId="11" xfId="1" applyFont="1" applyFill="1" applyBorder="1" applyAlignment="1" applyProtection="1">
      <alignment horizontal="center"/>
    </xf>
    <xf numFmtId="0" fontId="1" fillId="0" borderId="12" xfId="1" applyFont="1" applyFill="1" applyBorder="1" applyAlignment="1" applyProtection="1">
      <alignment horizontal="center"/>
    </xf>
    <xf numFmtId="0" fontId="10" fillId="0" borderId="0" xfId="1" applyFont="1" applyFill="1"/>
    <xf numFmtId="0" fontId="1" fillId="2" borderId="34" xfId="1" applyFont="1" applyFill="1" applyBorder="1" applyAlignment="1">
      <alignment horizontal="center"/>
    </xf>
    <xf numFmtId="0" fontId="10" fillId="2" borderId="35" xfId="1" applyFill="1" applyBorder="1" applyAlignment="1"/>
    <xf numFmtId="0" fontId="10" fillId="2" borderId="36" xfId="1" applyFill="1" applyBorder="1" applyAlignment="1"/>
    <xf numFmtId="0" fontId="10" fillId="0" borderId="0" xfId="1" applyAlignment="1"/>
    <xf numFmtId="0" fontId="15" fillId="0" borderId="0" xfId="1" applyFont="1" applyFill="1"/>
    <xf numFmtId="0" fontId="1" fillId="0" borderId="78" xfId="1" applyFont="1" applyFill="1" applyBorder="1" applyAlignment="1" applyProtection="1"/>
    <xf numFmtId="0" fontId="10" fillId="0" borderId="79" xfId="1" applyFill="1" applyBorder="1" applyAlignment="1"/>
    <xf numFmtId="0" fontId="10" fillId="0" borderId="80" xfId="1" applyFill="1" applyBorder="1" applyAlignment="1"/>
    <xf numFmtId="0" fontId="18" fillId="0" borderId="0" xfId="0" applyFont="1" applyBorder="1" applyAlignment="1" applyProtection="1"/>
    <xf numFmtId="0" fontId="18" fillId="0" borderId="0" xfId="0" applyFont="1" applyBorder="1" applyAlignment="1" applyProtection="1">
      <alignment horizontal="center"/>
    </xf>
    <xf numFmtId="4" fontId="14" fillId="0" borderId="0" xfId="0" applyNumberFormat="1" applyFont="1" applyBorder="1" applyAlignment="1" applyProtection="1">
      <alignment horizontal="right"/>
    </xf>
    <xf numFmtId="4" fontId="18" fillId="0" borderId="0" xfId="0" applyNumberFormat="1" applyFont="1" applyBorder="1" applyAlignment="1" applyProtection="1">
      <alignment horizontal="right"/>
    </xf>
    <xf numFmtId="4" fontId="18" fillId="0" borderId="62" xfId="0" applyNumberFormat="1" applyFont="1" applyBorder="1" applyAlignment="1" applyProtection="1">
      <alignment horizontal="right"/>
    </xf>
    <xf numFmtId="0" fontId="18" fillId="0" borderId="0" xfId="0" applyFont="1" applyBorder="1" applyAlignment="1">
      <alignment horizontal="center"/>
    </xf>
    <xf numFmtId="4" fontId="14" fillId="0" borderId="0" xfId="0" applyNumberFormat="1" applyFont="1" applyBorder="1" applyAlignment="1"/>
    <xf numFmtId="0" fontId="1" fillId="0" borderId="11" xfId="0" applyFont="1" applyFill="1" applyBorder="1" applyAlignment="1" applyProtection="1">
      <alignment horizontal="center"/>
    </xf>
    <xf numFmtId="4" fontId="1" fillId="0" borderId="72" xfId="0" applyNumberFormat="1" applyFont="1" applyFill="1" applyBorder="1" applyAlignment="1" applyProtection="1">
      <alignment horizontal="right"/>
    </xf>
    <xf numFmtId="4" fontId="1" fillId="0" borderId="35" xfId="0" applyNumberFormat="1" applyFont="1" applyBorder="1" applyAlignment="1" applyProtection="1">
      <alignment horizontal="right"/>
    </xf>
    <xf numFmtId="4" fontId="1" fillId="0" borderId="5" xfId="0" applyNumberFormat="1" applyFont="1" applyBorder="1" applyAlignment="1" applyProtection="1">
      <alignment horizontal="right"/>
    </xf>
    <xf numFmtId="4" fontId="10" fillId="0" borderId="2" xfId="0" applyNumberFormat="1" applyFont="1" applyBorder="1" applyAlignment="1" applyProtection="1">
      <alignment horizontal="right"/>
    </xf>
    <xf numFmtId="4" fontId="1" fillId="0" borderId="2" xfId="0" applyNumberFormat="1" applyFont="1" applyBorder="1" applyAlignment="1" applyProtection="1">
      <alignment horizontal="right"/>
    </xf>
    <xf numFmtId="4" fontId="1" fillId="0" borderId="26" xfId="0" applyNumberFormat="1" applyFont="1" applyBorder="1" applyAlignment="1" applyProtection="1">
      <alignment horizontal="right"/>
    </xf>
    <xf numFmtId="4" fontId="10" fillId="0" borderId="41" xfId="0" applyNumberFormat="1" applyFont="1" applyBorder="1" applyAlignment="1" applyProtection="1">
      <alignment horizontal="right"/>
    </xf>
    <xf numFmtId="4" fontId="1" fillId="0" borderId="69" xfId="0" applyNumberFormat="1" applyFont="1" applyBorder="1" applyAlignment="1" applyProtection="1">
      <alignment horizontal="right"/>
    </xf>
    <xf numFmtId="4" fontId="10" fillId="0" borderId="46" xfId="0" applyNumberFormat="1" applyFont="1" applyBorder="1" applyAlignment="1" applyProtection="1">
      <alignment horizontal="right"/>
    </xf>
    <xf numFmtId="4" fontId="1" fillId="0" borderId="38" xfId="0" applyNumberFormat="1" applyFont="1" applyBorder="1" applyAlignment="1" applyProtection="1">
      <alignment horizontal="right"/>
    </xf>
    <xf numFmtId="4" fontId="1" fillId="0" borderId="20" xfId="0" applyNumberFormat="1" applyFont="1" applyBorder="1" applyAlignment="1" applyProtection="1">
      <alignment horizontal="right"/>
    </xf>
    <xf numFmtId="4" fontId="10" fillId="0" borderId="32" xfId="0" applyNumberFormat="1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4" fontId="1" fillId="0" borderId="26" xfId="0" applyNumberFormat="1" applyFont="1" applyFill="1" applyBorder="1" applyAlignment="1" applyProtection="1">
      <alignment horizontal="right"/>
    </xf>
    <xf numFmtId="0" fontId="12" fillId="0" borderId="0" xfId="0" applyFont="1" applyBorder="1" applyAlignment="1">
      <alignment horizontal="center"/>
    </xf>
    <xf numFmtId="4" fontId="10" fillId="0" borderId="0" xfId="0" applyNumberFormat="1" applyFont="1" applyBorder="1" applyAlignment="1"/>
    <xf numFmtId="4" fontId="1" fillId="0" borderId="5" xfId="0" applyNumberFormat="1" applyFont="1" applyBorder="1" applyAlignment="1"/>
    <xf numFmtId="3" fontId="1" fillId="0" borderId="6" xfId="0" applyNumberFormat="1" applyFont="1" applyBorder="1" applyAlignment="1">
      <alignment horizontal="right"/>
    </xf>
    <xf numFmtId="0" fontId="12" fillId="0" borderId="0" xfId="0" applyFont="1" applyBorder="1" applyAlignment="1" applyProtection="1">
      <alignment horizontal="center"/>
    </xf>
    <xf numFmtId="4" fontId="13" fillId="0" borderId="17" xfId="0" applyNumberFormat="1" applyFont="1" applyFill="1" applyBorder="1" applyAlignment="1" applyProtection="1">
      <alignment horizontal="right"/>
    </xf>
    <xf numFmtId="4" fontId="1" fillId="0" borderId="23" xfId="0" applyNumberFormat="1" applyFont="1" applyFill="1" applyBorder="1" applyAlignment="1" applyProtection="1">
      <alignment horizontal="right"/>
    </xf>
    <xf numFmtId="0" fontId="1" fillId="0" borderId="10" xfId="0" applyFont="1" applyFill="1" applyBorder="1" applyAlignment="1">
      <alignment horizontal="left"/>
    </xf>
    <xf numFmtId="0" fontId="1" fillId="0" borderId="28" xfId="0" applyFont="1" applyFill="1" applyBorder="1"/>
    <xf numFmtId="0" fontId="1" fillId="0" borderId="19" xfId="0" applyFont="1" applyFill="1" applyBorder="1" applyAlignment="1">
      <alignment horizontal="left"/>
    </xf>
    <xf numFmtId="0" fontId="1" fillId="0" borderId="25" xfId="0" applyFont="1" applyFill="1" applyBorder="1"/>
    <xf numFmtId="0" fontId="10" fillId="0" borderId="16" xfId="0" applyFont="1" applyFill="1" applyBorder="1"/>
    <xf numFmtId="1" fontId="10" fillId="0" borderId="17" xfId="0" applyNumberFormat="1" applyFont="1" applyFill="1" applyBorder="1" applyAlignment="1" applyProtection="1">
      <alignment horizontal="right"/>
    </xf>
    <xf numFmtId="1" fontId="10" fillId="0" borderId="18" xfId="0" applyNumberFormat="1" applyFont="1" applyFill="1" applyBorder="1" applyAlignment="1" applyProtection="1">
      <alignment horizontal="right"/>
    </xf>
    <xf numFmtId="0" fontId="10" fillId="0" borderId="25" xfId="0" applyFont="1" applyFill="1" applyBorder="1"/>
    <xf numFmtId="4" fontId="10" fillId="0" borderId="26" xfId="0" applyNumberFormat="1" applyFont="1" applyFill="1" applyBorder="1" applyAlignment="1" applyProtection="1">
      <alignment horizontal="right"/>
    </xf>
    <xf numFmtId="1" fontId="10" fillId="0" borderId="26" xfId="0" applyNumberFormat="1" applyFont="1" applyFill="1" applyBorder="1" applyAlignment="1" applyProtection="1">
      <alignment horizontal="right"/>
    </xf>
    <xf numFmtId="1" fontId="10" fillId="0" borderId="27" xfId="0" applyNumberFormat="1" applyFont="1" applyFill="1" applyBorder="1" applyAlignment="1" applyProtection="1">
      <alignment horizontal="right"/>
    </xf>
    <xf numFmtId="0" fontId="1" fillId="0" borderId="55" xfId="0" applyFont="1" applyBorder="1" applyAlignment="1">
      <alignment horizontal="center"/>
    </xf>
    <xf numFmtId="3" fontId="1" fillId="0" borderId="57" xfId="0" applyNumberFormat="1" applyFont="1" applyBorder="1" applyAlignment="1">
      <alignment horizontal="right"/>
    </xf>
    <xf numFmtId="0" fontId="1" fillId="0" borderId="25" xfId="0" applyFont="1" applyBorder="1" applyAlignment="1">
      <alignment horizontal="center"/>
    </xf>
    <xf numFmtId="3" fontId="1" fillId="0" borderId="27" xfId="0" applyNumberFormat="1" applyFont="1" applyBorder="1" applyAlignment="1">
      <alignment horizontal="right"/>
    </xf>
    <xf numFmtId="0" fontId="0" fillId="0" borderId="14" xfId="0" applyBorder="1" applyAlignment="1">
      <alignment wrapText="1"/>
    </xf>
    <xf numFmtId="3" fontId="0" fillId="0" borderId="15" xfId="0" applyNumberFormat="1" applyBorder="1" applyAlignment="1">
      <alignment horizontal="right"/>
    </xf>
    <xf numFmtId="0" fontId="11" fillId="0" borderId="25" xfId="0" applyFont="1" applyBorder="1" applyAlignment="1">
      <alignment horizontal="center"/>
    </xf>
    <xf numFmtId="0" fontId="10" fillId="0" borderId="14" xfId="0" applyFont="1" applyBorder="1" applyAlignment="1">
      <alignment wrapText="1"/>
    </xf>
    <xf numFmtId="3" fontId="1" fillId="0" borderId="84" xfId="0" applyNumberFormat="1" applyFont="1" applyBorder="1" applyAlignment="1">
      <alignment horizontal="center"/>
    </xf>
    <xf numFmtId="4" fontId="1" fillId="0" borderId="56" xfId="0" applyNumberFormat="1" applyFont="1" applyBorder="1" applyAlignment="1"/>
    <xf numFmtId="4" fontId="1" fillId="0" borderId="26" xfId="0" applyNumberFormat="1" applyFont="1" applyBorder="1" applyAlignment="1"/>
    <xf numFmtId="4" fontId="10" fillId="0" borderId="14" xfId="0" applyNumberFormat="1" applyFont="1" applyBorder="1" applyAlignment="1"/>
    <xf numFmtId="0" fontId="1" fillId="0" borderId="25" xfId="0" applyFont="1" applyFill="1" applyBorder="1" applyAlignment="1">
      <alignment wrapText="1"/>
    </xf>
    <xf numFmtId="0" fontId="1" fillId="0" borderId="16" xfId="0" applyFont="1" applyFill="1" applyBorder="1" applyAlignment="1">
      <alignment wrapText="1"/>
    </xf>
    <xf numFmtId="4" fontId="1" fillId="0" borderId="56" xfId="0" applyNumberFormat="1" applyFont="1" applyBorder="1" applyAlignment="1" applyProtection="1">
      <alignment horizontal="right"/>
    </xf>
    <xf numFmtId="4" fontId="12" fillId="0" borderId="60" xfId="0" applyNumberFormat="1" applyFont="1" applyBorder="1" applyAlignment="1" applyProtection="1">
      <alignment horizontal="right"/>
    </xf>
    <xf numFmtId="4" fontId="12" fillId="0" borderId="0" xfId="0" applyNumberFormat="1" applyFont="1" applyBorder="1" applyAlignment="1" applyProtection="1">
      <alignment horizontal="right"/>
    </xf>
    <xf numFmtId="4" fontId="1" fillId="0" borderId="76" xfId="0" applyNumberFormat="1" applyFont="1" applyBorder="1" applyAlignment="1" applyProtection="1">
      <alignment horizontal="right"/>
    </xf>
    <xf numFmtId="4" fontId="12" fillId="0" borderId="62" xfId="0" applyNumberFormat="1" applyFont="1" applyBorder="1" applyAlignment="1" applyProtection="1">
      <alignment horizontal="right"/>
    </xf>
    <xf numFmtId="4" fontId="1" fillId="0" borderId="56" xfId="0" applyNumberFormat="1" applyFont="1" applyBorder="1" applyAlignment="1">
      <alignment horizontal="right"/>
    </xf>
    <xf numFmtId="4" fontId="12" fillId="0" borderId="44" xfId="0" applyNumberFormat="1" applyFont="1" applyBorder="1" applyAlignment="1" applyProtection="1">
      <alignment horizontal="right"/>
    </xf>
    <xf numFmtId="4" fontId="12" fillId="0" borderId="2" xfId="0" applyNumberFormat="1" applyFont="1" applyBorder="1" applyAlignment="1" applyProtection="1">
      <alignment horizontal="right"/>
    </xf>
    <xf numFmtId="4" fontId="12" fillId="0" borderId="32" xfId="0" applyNumberFormat="1" applyFont="1" applyBorder="1" applyAlignment="1" applyProtection="1">
      <alignment horizontal="right"/>
    </xf>
    <xf numFmtId="4" fontId="1" fillId="0" borderId="26" xfId="0" applyNumberFormat="1" applyFont="1" applyBorder="1"/>
    <xf numFmtId="4" fontId="1" fillId="0" borderId="5" xfId="0" applyNumberFormat="1" applyFont="1" applyBorder="1"/>
    <xf numFmtId="4" fontId="10" fillId="0" borderId="32" xfId="0" applyNumberFormat="1" applyFont="1" applyBorder="1" applyAlignment="1"/>
    <xf numFmtId="0" fontId="1" fillId="0" borderId="83" xfId="0" applyFont="1" applyBorder="1" applyAlignment="1">
      <alignment horizontal="center"/>
    </xf>
    <xf numFmtId="4" fontId="12" fillId="0" borderId="8" xfId="0" applyNumberFormat="1" applyFont="1" applyBorder="1" applyAlignment="1" applyProtection="1">
      <alignment horizontal="right"/>
    </xf>
    <xf numFmtId="0" fontId="13" fillId="0" borderId="0" xfId="0" applyFont="1"/>
    <xf numFmtId="0" fontId="12" fillId="0" borderId="0" xfId="0" applyFont="1" applyBorder="1" applyAlignment="1" applyProtection="1">
      <alignment horizontal="center"/>
    </xf>
    <xf numFmtId="0" fontId="12" fillId="0" borderId="0" xfId="0" applyFont="1" applyBorder="1" applyAlignment="1">
      <alignment horizontal="center"/>
    </xf>
    <xf numFmtId="4" fontId="10" fillId="0" borderId="29" xfId="0" applyNumberFormat="1" applyFont="1" applyFill="1" applyBorder="1" applyAlignment="1" applyProtection="1">
      <alignment horizontal="right"/>
    </xf>
    <xf numFmtId="4" fontId="1" fillId="0" borderId="26" xfId="0" applyNumberFormat="1" applyFont="1" applyFill="1" applyBorder="1" applyAlignment="1" applyProtection="1">
      <alignment horizontal="right"/>
    </xf>
    <xf numFmtId="4" fontId="10" fillId="0" borderId="17" xfId="0" applyNumberFormat="1" applyFont="1" applyFill="1" applyBorder="1" applyAlignment="1" applyProtection="1">
      <alignment horizontal="right"/>
    </xf>
    <xf numFmtId="4" fontId="1" fillId="0" borderId="17" xfId="0" applyNumberFormat="1" applyFont="1" applyFill="1" applyBorder="1" applyAlignment="1" applyProtection="1">
      <alignment horizontal="right"/>
    </xf>
    <xf numFmtId="0" fontId="3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center"/>
    </xf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1" fontId="1" fillId="0" borderId="26" xfId="0" applyNumberFormat="1" applyFont="1" applyFill="1" applyBorder="1" applyAlignment="1" applyProtection="1">
      <alignment horizontal="right"/>
    </xf>
    <xf numFmtId="1" fontId="1" fillId="0" borderId="26" xfId="0" applyNumberFormat="1" applyFont="1" applyFill="1" applyBorder="1"/>
    <xf numFmtId="1" fontId="1" fillId="0" borderId="27" xfId="0" applyNumberFormat="1" applyFont="1" applyFill="1" applyBorder="1" applyAlignment="1">
      <alignment horizontal="right"/>
    </xf>
    <xf numFmtId="0" fontId="1" fillId="0" borderId="25" xfId="0" applyFont="1" applyFill="1" applyBorder="1" applyAlignment="1" applyProtection="1"/>
    <xf numFmtId="0" fontId="1" fillId="0" borderId="26" xfId="0" applyFont="1" applyFill="1" applyBorder="1"/>
    <xf numFmtId="4" fontId="1" fillId="0" borderId="26" xfId="0" applyNumberFormat="1" applyFont="1" applyFill="1" applyBorder="1" applyAlignment="1" applyProtection="1">
      <alignment horizontal="right"/>
    </xf>
    <xf numFmtId="1" fontId="10" fillId="0" borderId="5" xfId="0" applyNumberFormat="1" applyFont="1" applyFill="1" applyBorder="1" applyAlignment="1" applyProtection="1">
      <alignment horizontal="right"/>
    </xf>
    <xf numFmtId="1" fontId="10" fillId="0" borderId="6" xfId="0" applyNumberFormat="1" applyFont="1" applyFill="1" applyBorder="1" applyAlignment="1" applyProtection="1">
      <alignment horizontal="right"/>
    </xf>
    <xf numFmtId="4" fontId="10" fillId="0" borderId="5" xfId="0" applyNumberFormat="1" applyFont="1" applyFill="1" applyBorder="1" applyAlignment="1" applyProtection="1">
      <alignment horizontal="right"/>
    </xf>
    <xf numFmtId="0" fontId="10" fillId="0" borderId="4" xfId="0" applyFont="1" applyFill="1" applyBorder="1" applyAlignment="1" applyProtection="1"/>
    <xf numFmtId="0" fontId="10" fillId="0" borderId="5" xfId="0" applyFont="1" applyFill="1" applyBorder="1" applyAlignment="1" applyProtection="1"/>
    <xf numFmtId="0" fontId="10" fillId="0" borderId="13" xfId="0" applyFont="1" applyFill="1" applyBorder="1" applyAlignment="1" applyProtection="1"/>
    <xf numFmtId="0" fontId="10" fillId="0" borderId="14" xfId="0" applyFont="1" applyFill="1" applyBorder="1"/>
    <xf numFmtId="4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 applyAlignment="1" applyProtection="1">
      <alignment horizontal="right"/>
    </xf>
    <xf numFmtId="1" fontId="10" fillId="0" borderId="14" xfId="0" applyNumberFormat="1" applyFont="1" applyFill="1" applyBorder="1"/>
    <xf numFmtId="1" fontId="10" fillId="0" borderId="15" xfId="0" applyNumberFormat="1" applyFont="1" applyFill="1" applyBorder="1" applyAlignment="1">
      <alignment horizontal="right"/>
    </xf>
    <xf numFmtId="0" fontId="8" fillId="0" borderId="0" xfId="0" applyFont="1" applyBorder="1" applyAlignment="1" applyProtection="1">
      <alignment horizontal="center" vertical="center"/>
    </xf>
    <xf numFmtId="0" fontId="1" fillId="0" borderId="44" xfId="0" applyFont="1" applyFill="1" applyBorder="1" applyAlignment="1">
      <alignment horizontal="center" wrapText="1"/>
    </xf>
    <xf numFmtId="0" fontId="10" fillId="0" borderId="44" xfId="0" applyFont="1" applyFill="1" applyBorder="1" applyAlignment="1">
      <alignment wrapText="1"/>
    </xf>
    <xf numFmtId="0" fontId="1" fillId="0" borderId="44" xfId="0" applyFont="1" applyFill="1" applyBorder="1" applyAlignment="1">
      <alignment horizontal="center"/>
    </xf>
    <xf numFmtId="0" fontId="10" fillId="0" borderId="44" xfId="0" applyFont="1" applyFill="1" applyBorder="1"/>
    <xf numFmtId="0" fontId="7" fillId="0" borderId="44" xfId="0" applyFont="1" applyFill="1" applyBorder="1" applyAlignment="1">
      <alignment horizontal="center" wrapText="1"/>
    </xf>
    <xf numFmtId="0" fontId="0" fillId="0" borderId="44" xfId="0" applyFill="1" applyBorder="1" applyAlignment="1">
      <alignment wrapText="1"/>
    </xf>
    <xf numFmtId="0" fontId="0" fillId="0" borderId="45" xfId="0" applyFill="1" applyBorder="1" applyAlignment="1">
      <alignment wrapText="1"/>
    </xf>
    <xf numFmtId="0" fontId="7" fillId="0" borderId="31" xfId="0" applyFont="1" applyFill="1" applyBorder="1" applyAlignment="1">
      <alignment horizontal="center"/>
    </xf>
    <xf numFmtId="0" fontId="0" fillId="0" borderId="32" xfId="0" applyFill="1" applyBorder="1"/>
    <xf numFmtId="0" fontId="1" fillId="0" borderId="32" xfId="0" applyFont="1" applyFill="1" applyBorder="1" applyAlignment="1">
      <alignment horizontal="center"/>
    </xf>
    <xf numFmtId="0" fontId="10" fillId="0" borderId="32" xfId="0" applyFont="1" applyFill="1" applyBorder="1"/>
    <xf numFmtId="0" fontId="7" fillId="0" borderId="32" xfId="0" applyFont="1" applyFill="1" applyBorder="1" applyAlignment="1">
      <alignment horizontal="center"/>
    </xf>
    <xf numFmtId="0" fontId="0" fillId="0" borderId="33" xfId="0" applyFill="1" applyBorder="1"/>
    <xf numFmtId="0" fontId="7" fillId="0" borderId="43" xfId="0" applyFont="1" applyFill="1" applyBorder="1" applyAlignment="1">
      <alignment horizontal="center"/>
    </xf>
    <xf numFmtId="0" fontId="0" fillId="0" borderId="44" xfId="0" applyFill="1" applyBorder="1"/>
    <xf numFmtId="1" fontId="1" fillId="0" borderId="35" xfId="0" applyNumberFormat="1" applyFont="1" applyFill="1" applyBorder="1" applyAlignment="1" applyProtection="1">
      <alignment horizontal="right"/>
    </xf>
    <xf numFmtId="1" fontId="1" fillId="0" borderId="35" xfId="0" applyNumberFormat="1" applyFont="1" applyFill="1" applyBorder="1"/>
    <xf numFmtId="1" fontId="1" fillId="0" borderId="36" xfId="0" applyNumberFormat="1" applyFont="1" applyFill="1" applyBorder="1"/>
    <xf numFmtId="0" fontId="12" fillId="0" borderId="10" xfId="0" applyFont="1" applyFill="1" applyBorder="1" applyAlignment="1" applyProtection="1"/>
    <xf numFmtId="0" fontId="15" fillId="0" borderId="11" xfId="0" applyFont="1" applyFill="1" applyBorder="1"/>
    <xf numFmtId="4" fontId="12" fillId="0" borderId="11" xfId="0" applyNumberFormat="1" applyFont="1" applyFill="1" applyBorder="1" applyAlignment="1" applyProtection="1">
      <alignment horizontal="right"/>
    </xf>
    <xf numFmtId="164" fontId="16" fillId="0" borderId="11" xfId="0" applyNumberFormat="1" applyFont="1" applyFill="1" applyBorder="1" applyAlignment="1" applyProtection="1">
      <alignment horizontal="right"/>
    </xf>
    <xf numFmtId="0" fontId="15" fillId="0" borderId="12" xfId="0" applyFont="1" applyFill="1" applyBorder="1"/>
    <xf numFmtId="0" fontId="1" fillId="0" borderId="34" xfId="0" applyFont="1" applyFill="1" applyBorder="1" applyAlignment="1" applyProtection="1"/>
    <xf numFmtId="0" fontId="1" fillId="0" borderId="35" xfId="0" applyFont="1" applyFill="1" applyBorder="1"/>
    <xf numFmtId="4" fontId="1" fillId="0" borderId="35" xfId="0" applyNumberFormat="1" applyFont="1" applyFill="1" applyBorder="1" applyAlignment="1" applyProtection="1">
      <alignment horizontal="right"/>
    </xf>
    <xf numFmtId="4" fontId="10" fillId="0" borderId="29" xfId="0" applyNumberFormat="1" applyFont="1" applyFill="1" applyBorder="1" applyAlignment="1" applyProtection="1">
      <alignment horizontal="right"/>
    </xf>
    <xf numFmtId="0" fontId="10" fillId="0" borderId="29" xfId="0" applyFont="1" applyFill="1" applyBorder="1"/>
    <xf numFmtId="1" fontId="10" fillId="0" borderId="29" xfId="0" applyNumberFormat="1" applyFont="1" applyFill="1" applyBorder="1" applyAlignment="1" applyProtection="1">
      <alignment horizontal="right"/>
    </xf>
    <xf numFmtId="1" fontId="10" fillId="0" borderId="29" xfId="0" applyNumberFormat="1" applyFont="1" applyFill="1" applyBorder="1"/>
    <xf numFmtId="1" fontId="10" fillId="0" borderId="30" xfId="0" applyNumberFormat="1" applyFont="1" applyFill="1" applyBorder="1" applyAlignment="1">
      <alignment horizontal="right"/>
    </xf>
    <xf numFmtId="0" fontId="10" fillId="0" borderId="28" xfId="0" applyFont="1" applyFill="1" applyBorder="1" applyAlignment="1" applyProtection="1"/>
    <xf numFmtId="0" fontId="12" fillId="0" borderId="19" xfId="0" applyFont="1" applyFill="1" applyBorder="1" applyAlignment="1" applyProtection="1">
      <alignment horizontal="left"/>
    </xf>
    <xf numFmtId="0" fontId="12" fillId="0" borderId="20" xfId="0" applyFont="1" applyFill="1" applyBorder="1"/>
    <xf numFmtId="0" fontId="12" fillId="0" borderId="20" xfId="0" applyFont="1" applyFill="1" applyBorder="1" applyAlignment="1" applyProtection="1">
      <alignment horizontal="left"/>
    </xf>
    <xf numFmtId="0" fontId="18" fillId="0" borderId="20" xfId="0" applyFont="1" applyFill="1" applyBorder="1" applyAlignment="1" applyProtection="1">
      <alignment horizontal="left"/>
    </xf>
    <xf numFmtId="0" fontId="18" fillId="0" borderId="20" xfId="0" applyFont="1" applyFill="1" applyBorder="1"/>
    <xf numFmtId="1" fontId="12" fillId="0" borderId="20" xfId="0" applyNumberFormat="1" applyFont="1" applyFill="1" applyBorder="1" applyAlignment="1" applyProtection="1">
      <alignment horizontal="left"/>
    </xf>
    <xf numFmtId="1" fontId="12" fillId="0" borderId="20" xfId="0" applyNumberFormat="1" applyFont="1" applyFill="1" applyBorder="1"/>
    <xf numFmtId="1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>
      <alignment horizontal="right"/>
    </xf>
    <xf numFmtId="4" fontId="12" fillId="0" borderId="20" xfId="0" applyNumberFormat="1" applyFont="1" applyFill="1" applyBorder="1" applyAlignment="1" applyProtection="1">
      <alignment horizontal="right"/>
    </xf>
    <xf numFmtId="1" fontId="12" fillId="0" borderId="21" xfId="0" applyNumberFormat="1" applyFont="1" applyFill="1" applyBorder="1" applyAlignment="1" applyProtection="1">
      <alignment horizontal="right"/>
    </xf>
    <xf numFmtId="0" fontId="10" fillId="0" borderId="5" xfId="0" applyFont="1" applyFill="1" applyBorder="1"/>
    <xf numFmtId="1" fontId="1" fillId="0" borderId="35" xfId="0" applyNumberFormat="1" applyFont="1" applyFill="1" applyBorder="1" applyAlignment="1">
      <alignment horizontal="right"/>
    </xf>
    <xf numFmtId="1" fontId="1" fillId="0" borderId="36" xfId="0" applyNumberFormat="1" applyFont="1" applyFill="1" applyBorder="1" applyAlignment="1">
      <alignment horizontal="right"/>
    </xf>
    <xf numFmtId="1" fontId="10" fillId="0" borderId="5" xfId="0" applyNumberFormat="1" applyFont="1" applyFill="1" applyBorder="1" applyAlignment="1">
      <alignment horizontal="right"/>
    </xf>
    <xf numFmtId="1" fontId="10" fillId="0" borderId="6" xfId="0" applyNumberFormat="1" applyFont="1" applyFill="1" applyBorder="1" applyAlignment="1">
      <alignment horizontal="right"/>
    </xf>
    <xf numFmtId="1" fontId="1" fillId="0" borderId="26" xfId="0" applyNumberFormat="1" applyFont="1" applyFill="1" applyBorder="1" applyAlignment="1">
      <alignment horizontal="right"/>
    </xf>
    <xf numFmtId="0" fontId="10" fillId="0" borderId="1" xfId="0" applyFont="1" applyFill="1" applyBorder="1" applyAlignment="1" applyProtection="1"/>
    <xf numFmtId="0" fontId="10" fillId="0" borderId="2" xfId="0" applyFont="1" applyFill="1" applyBorder="1"/>
    <xf numFmtId="4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 applyProtection="1">
      <alignment horizontal="right"/>
    </xf>
    <xf numFmtId="1" fontId="10" fillId="0" borderId="2" xfId="0" applyNumberFormat="1" applyFont="1" applyFill="1" applyBorder="1" applyAlignment="1">
      <alignment horizontal="right"/>
    </xf>
    <xf numFmtId="1" fontId="10" fillId="0" borderId="3" xfId="0" applyNumberFormat="1" applyFont="1" applyFill="1" applyBorder="1" applyAlignment="1">
      <alignment horizontal="right"/>
    </xf>
    <xf numFmtId="0" fontId="10" fillId="0" borderId="13" xfId="0" applyFont="1" applyFill="1" applyBorder="1" applyAlignment="1" applyProtection="1">
      <alignment horizontal="left"/>
    </xf>
    <xf numFmtId="0" fontId="10" fillId="0" borderId="14" xfId="0" applyFont="1" applyFill="1" applyBorder="1" applyAlignment="1" applyProtection="1">
      <alignment horizontal="left"/>
    </xf>
    <xf numFmtId="1" fontId="10" fillId="0" borderId="14" xfId="0" applyNumberFormat="1" applyFont="1" applyFill="1" applyBorder="1" applyAlignment="1">
      <alignment horizontal="right"/>
    </xf>
    <xf numFmtId="1" fontId="12" fillId="0" borderId="17" xfId="0" applyNumberFormat="1" applyFont="1" applyBorder="1" applyAlignment="1" applyProtection="1">
      <alignment horizontal="right"/>
    </xf>
    <xf numFmtId="1" fontId="12" fillId="0" borderId="18" xfId="0" applyNumberFormat="1" applyFont="1" applyBorder="1" applyAlignment="1">
      <alignment horizontal="right"/>
    </xf>
    <xf numFmtId="0" fontId="12" fillId="0" borderId="16" xfId="0" applyFont="1" applyFill="1" applyBorder="1" applyAlignment="1" applyProtection="1">
      <alignment horizontal="left"/>
    </xf>
    <xf numFmtId="0" fontId="12" fillId="0" borderId="17" xfId="0" applyFont="1" applyFill="1" applyBorder="1"/>
    <xf numFmtId="4" fontId="12" fillId="0" borderId="17" xfId="0" applyNumberFormat="1" applyFont="1" applyBorder="1" applyAlignment="1" applyProtection="1">
      <alignment horizontal="right"/>
    </xf>
    <xf numFmtId="4" fontId="12" fillId="0" borderId="17" xfId="0" applyNumberFormat="1" applyFont="1" applyBorder="1" applyAlignment="1">
      <alignment horizontal="right"/>
    </xf>
    <xf numFmtId="1" fontId="12" fillId="0" borderId="17" xfId="0" applyNumberFormat="1" applyFont="1" applyBorder="1" applyAlignment="1">
      <alignment horizontal="right"/>
    </xf>
    <xf numFmtId="1" fontId="10" fillId="0" borderId="48" xfId="0" applyNumberFormat="1" applyFont="1" applyFill="1" applyBorder="1" applyAlignment="1" applyProtection="1">
      <alignment horizontal="right"/>
    </xf>
    <xf numFmtId="1" fontId="10" fillId="0" borderId="49" xfId="0" applyNumberFormat="1" applyFont="1" applyFill="1" applyBorder="1" applyAlignment="1" applyProtection="1">
      <alignment horizontal="right"/>
    </xf>
    <xf numFmtId="1" fontId="10" fillId="0" borderId="50" xfId="0" applyNumberFormat="1" applyFont="1" applyFill="1" applyBorder="1" applyAlignment="1" applyProtection="1">
      <alignment horizontal="right"/>
    </xf>
    <xf numFmtId="0" fontId="10" fillId="0" borderId="24" xfId="0" applyFont="1" applyFill="1" applyBorder="1" applyAlignment="1" applyProtection="1"/>
    <xf numFmtId="0" fontId="10" fillId="0" borderId="46" xfId="0" applyFont="1" applyFill="1" applyBorder="1"/>
    <xf numFmtId="4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 applyProtection="1">
      <alignment horizontal="right"/>
    </xf>
    <xf numFmtId="1" fontId="10" fillId="0" borderId="46" xfId="0" applyNumberFormat="1" applyFont="1" applyFill="1" applyBorder="1" applyAlignment="1">
      <alignment horizontal="right"/>
    </xf>
    <xf numFmtId="1" fontId="10" fillId="0" borderId="47" xfId="0" applyNumberFormat="1" applyFont="1" applyFill="1" applyBorder="1" applyAlignment="1">
      <alignment horizontal="right"/>
    </xf>
    <xf numFmtId="0" fontId="3" fillId="0" borderId="0" xfId="1" applyFont="1" applyBorder="1" applyAlignment="1" applyProtection="1">
      <alignment horizontal="center" vertical="center"/>
    </xf>
    <xf numFmtId="0" fontId="3" fillId="0" borderId="0" xfId="1" applyFont="1" applyBorder="1" applyAlignment="1" applyProtection="1">
      <alignment horizontal="center"/>
    </xf>
    <xf numFmtId="0" fontId="1" fillId="0" borderId="0" xfId="1" applyFont="1" applyBorder="1" applyAlignment="1" applyProtection="1">
      <alignment horizontal="center" vertical="center"/>
    </xf>
    <xf numFmtId="0" fontId="12" fillId="0" borderId="0" xfId="1" applyFont="1" applyBorder="1" applyAlignment="1" applyProtection="1">
      <alignment horizontal="center"/>
    </xf>
    <xf numFmtId="0" fontId="12" fillId="0" borderId="0" xfId="1" applyFont="1"/>
    <xf numFmtId="0" fontId="1" fillId="0" borderId="51" xfId="0" applyFont="1" applyBorder="1" applyAlignment="1">
      <alignment horizontal="center"/>
    </xf>
    <xf numFmtId="0" fontId="1" fillId="0" borderId="52" xfId="0" applyFont="1" applyBorder="1" applyAlignment="1">
      <alignment horizontal="center"/>
    </xf>
    <xf numFmtId="0" fontId="12" fillId="0" borderId="58" xfId="0" applyFont="1" applyBorder="1" applyAlignment="1">
      <alignment horizontal="center"/>
    </xf>
    <xf numFmtId="0" fontId="12" fillId="0" borderId="59" xfId="0" applyFont="1" applyBorder="1" applyAlignment="1">
      <alignment horizontal="center"/>
    </xf>
    <xf numFmtId="0" fontId="1" fillId="0" borderId="81" xfId="0" applyFont="1" applyBorder="1" applyAlignment="1">
      <alignment horizontal="center"/>
    </xf>
    <xf numFmtId="0" fontId="1" fillId="0" borderId="82" xfId="0" applyFont="1" applyBorder="1" applyAlignment="1">
      <alignment horizontal="center"/>
    </xf>
    <xf numFmtId="0" fontId="12" fillId="0" borderId="0" xfId="0" applyFont="1" applyBorder="1" applyAlignment="1">
      <alignment horizont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6"/>
  <sheetViews>
    <sheetView tabSelected="1" workbookViewId="0">
      <selection activeCell="A31" sqref="A31"/>
    </sheetView>
  </sheetViews>
  <sheetFormatPr defaultRowHeight="13.2" x14ac:dyDescent="0.25"/>
  <cols>
    <col min="1" max="1" width="71.6640625" customWidth="1"/>
    <col min="2" max="2" width="20" customWidth="1"/>
    <col min="3" max="3" width="19.88671875" customWidth="1"/>
    <col min="4" max="4" width="17.6640625" customWidth="1"/>
    <col min="5" max="5" width="19.33203125" customWidth="1"/>
    <col min="6" max="6" width="14.5546875" customWidth="1"/>
    <col min="7" max="7" width="12.109375" customWidth="1"/>
    <col min="10" max="10" width="13.6640625" customWidth="1"/>
    <col min="11" max="11" width="18.44140625" style="252" customWidth="1"/>
    <col min="12" max="12" width="15.44140625" style="252" customWidth="1"/>
  </cols>
  <sheetData>
    <row r="1" spans="1:12" s="8" customFormat="1" x14ac:dyDescent="0.25">
      <c r="A1" s="8" t="s">
        <v>221</v>
      </c>
      <c r="K1" s="252"/>
      <c r="L1" s="252"/>
    </row>
    <row r="2" spans="1:12" s="8" customFormat="1" x14ac:dyDescent="0.25">
      <c r="A2" s="8" t="s">
        <v>222</v>
      </c>
      <c r="K2" s="252"/>
      <c r="L2" s="252"/>
    </row>
    <row r="3" spans="1:12" s="8" customFormat="1" x14ac:dyDescent="0.25">
      <c r="A3" s="8" t="s">
        <v>223</v>
      </c>
      <c r="K3" s="252"/>
      <c r="L3" s="252"/>
    </row>
    <row r="4" spans="1:12" x14ac:dyDescent="0.25">
      <c r="A4" t="s">
        <v>224</v>
      </c>
    </row>
    <row r="5" spans="1:12" s="8" customFormat="1" x14ac:dyDescent="0.25">
      <c r="K5" s="252"/>
      <c r="L5" s="252"/>
    </row>
    <row r="6" spans="1:12" s="1" customFormat="1" ht="31.95" customHeight="1" x14ac:dyDescent="0.3">
      <c r="A6" s="385" t="s">
        <v>358</v>
      </c>
      <c r="B6" s="385"/>
      <c r="C6" s="385"/>
      <c r="D6" s="385"/>
      <c r="E6" s="385"/>
      <c r="F6" s="385"/>
      <c r="G6" s="385"/>
      <c r="K6" s="253"/>
      <c r="L6" s="253"/>
    </row>
    <row r="7" spans="1:12" ht="27.6" customHeight="1" x14ac:dyDescent="0.25">
      <c r="A7" s="386" t="s">
        <v>372</v>
      </c>
      <c r="B7" s="387"/>
      <c r="C7" s="387"/>
      <c r="D7" s="387"/>
      <c r="E7" s="387"/>
      <c r="F7" s="387"/>
      <c r="G7" s="387"/>
    </row>
    <row r="8" spans="1:12" x14ac:dyDescent="0.25">
      <c r="A8" s="388" t="s">
        <v>225</v>
      </c>
      <c r="B8" s="389"/>
      <c r="C8" s="389"/>
      <c r="D8" s="389"/>
      <c r="E8" s="389"/>
      <c r="F8" s="389"/>
    </row>
    <row r="9" spans="1:12" s="8" customFormat="1" ht="13.8" thickBot="1" x14ac:dyDescent="0.3">
      <c r="A9" s="15"/>
      <c r="K9" s="252"/>
      <c r="L9" s="252"/>
    </row>
    <row r="10" spans="1:12" s="10" customFormat="1" ht="26.25" customHeight="1" thickTop="1" thickBot="1" x14ac:dyDescent="0.3">
      <c r="A10" s="11" t="s">
        <v>1</v>
      </c>
      <c r="B10" s="211" t="s">
        <v>373</v>
      </c>
      <c r="C10" s="285" t="s">
        <v>359</v>
      </c>
      <c r="D10" s="211" t="s">
        <v>360</v>
      </c>
      <c r="E10" s="211" t="s">
        <v>374</v>
      </c>
      <c r="F10" s="12" t="s">
        <v>2</v>
      </c>
      <c r="G10" s="13" t="s">
        <v>3</v>
      </c>
      <c r="J10" s="270"/>
      <c r="K10" s="271"/>
      <c r="L10" s="271"/>
    </row>
    <row r="11" spans="1:12" s="14" customFormat="1" ht="22.5" customHeight="1" thickTop="1" thickBot="1" x14ac:dyDescent="0.3">
      <c r="A11" s="339" t="s">
        <v>361</v>
      </c>
      <c r="B11" s="18">
        <v>1</v>
      </c>
      <c r="C11" s="18">
        <v>2</v>
      </c>
      <c r="D11" s="18">
        <v>3</v>
      </c>
      <c r="E11" s="18">
        <v>4</v>
      </c>
      <c r="F11" s="18">
        <v>5</v>
      </c>
      <c r="G11" s="19" t="s">
        <v>9</v>
      </c>
      <c r="J11" s="272"/>
      <c r="K11" s="273"/>
      <c r="L11" s="273"/>
    </row>
    <row r="12" spans="1:12" s="10" customFormat="1" ht="18.75" customHeight="1" x14ac:dyDescent="0.25">
      <c r="A12" s="22" t="s">
        <v>10</v>
      </c>
      <c r="B12" s="16">
        <v>2127314.67</v>
      </c>
      <c r="C12" s="16">
        <v>2494850</v>
      </c>
      <c r="D12" s="16">
        <v>2576320</v>
      </c>
      <c r="E12" s="16">
        <v>2312949.34</v>
      </c>
      <c r="F12" s="25">
        <f>E12/B12*100</f>
        <v>108.72624405866576</v>
      </c>
      <c r="G12" s="26">
        <f>E12/D12*100</f>
        <v>89.777253602037007</v>
      </c>
      <c r="J12" s="274"/>
      <c r="K12" s="275"/>
      <c r="L12" s="271"/>
    </row>
    <row r="13" spans="1:12" s="10" customFormat="1" ht="18.75" customHeight="1" x14ac:dyDescent="0.25">
      <c r="A13" s="21" t="s">
        <v>227</v>
      </c>
      <c r="B13" s="20">
        <v>0</v>
      </c>
      <c r="C13" s="20">
        <v>0</v>
      </c>
      <c r="D13" s="20">
        <v>0</v>
      </c>
      <c r="E13" s="20">
        <v>0</v>
      </c>
      <c r="F13" s="27"/>
      <c r="G13" s="28"/>
      <c r="J13" s="274"/>
      <c r="K13" s="271"/>
      <c r="L13" s="271"/>
    </row>
    <row r="14" spans="1:12" s="103" customFormat="1" ht="18.75" customHeight="1" x14ac:dyDescent="0.25">
      <c r="A14" s="167" t="s">
        <v>11</v>
      </c>
      <c r="B14" s="168">
        <f>B12+B13</f>
        <v>2127314.67</v>
      </c>
      <c r="C14" s="168">
        <f>C12+C13</f>
        <v>2494850</v>
      </c>
      <c r="D14" s="168">
        <f>D12+D13</f>
        <v>2576320</v>
      </c>
      <c r="E14" s="168">
        <f>E12+E13</f>
        <v>2312949.34</v>
      </c>
      <c r="F14" s="169">
        <f t="shared" ref="F14:F17" si="0">E14/B14*100</f>
        <v>108.72624405866576</v>
      </c>
      <c r="G14" s="170">
        <f t="shared" ref="G14:G17" si="1">E14/D14*100</f>
        <v>89.777253602037007</v>
      </c>
      <c r="J14" s="276"/>
      <c r="K14" s="277"/>
      <c r="L14" s="276"/>
    </row>
    <row r="15" spans="1:12" s="10" customFormat="1" ht="18.75" customHeight="1" x14ac:dyDescent="0.25">
      <c r="A15" s="22" t="s">
        <v>12</v>
      </c>
      <c r="B15" s="16">
        <v>2100007.08</v>
      </c>
      <c r="C15" s="16">
        <v>2483372</v>
      </c>
      <c r="D15" s="16">
        <v>2566770</v>
      </c>
      <c r="E15" s="16">
        <v>2510871.7999999998</v>
      </c>
      <c r="F15" s="25">
        <f t="shared" si="0"/>
        <v>119.56492070493398</v>
      </c>
      <c r="G15" s="26">
        <f t="shared" si="1"/>
        <v>97.822235728171975</v>
      </c>
      <c r="J15" s="274"/>
      <c r="K15" s="275"/>
      <c r="L15" s="271"/>
    </row>
    <row r="16" spans="1:12" s="10" customFormat="1" ht="18.75" customHeight="1" x14ac:dyDescent="0.25">
      <c r="A16" s="21" t="s">
        <v>226</v>
      </c>
      <c r="B16" s="20">
        <v>18093.47</v>
      </c>
      <c r="C16" s="20">
        <v>44708</v>
      </c>
      <c r="D16" s="20">
        <v>42780</v>
      </c>
      <c r="E16" s="20">
        <v>33301.39</v>
      </c>
      <c r="F16" s="27">
        <f t="shared" si="0"/>
        <v>184.05198118437204</v>
      </c>
      <c r="G16" s="28">
        <f t="shared" si="1"/>
        <v>77.843361383824217</v>
      </c>
      <c r="J16" s="274"/>
      <c r="K16" s="271"/>
      <c r="L16" s="271"/>
    </row>
    <row r="17" spans="1:12" s="103" customFormat="1" ht="18.75" customHeight="1" x14ac:dyDescent="0.25">
      <c r="A17" s="167" t="s">
        <v>14</v>
      </c>
      <c r="B17" s="168">
        <f>B15+B16</f>
        <v>2118100.5500000003</v>
      </c>
      <c r="C17" s="168">
        <f>C15+C16</f>
        <v>2528080</v>
      </c>
      <c r="D17" s="168">
        <f>D15+D16</f>
        <v>2609550</v>
      </c>
      <c r="E17" s="168">
        <f>E15+E16</f>
        <v>2544173.19</v>
      </c>
      <c r="F17" s="169">
        <f t="shared" si="0"/>
        <v>120.11578912058729</v>
      </c>
      <c r="G17" s="170">
        <f t="shared" si="1"/>
        <v>97.494709432660798</v>
      </c>
      <c r="J17" s="276"/>
      <c r="K17" s="276"/>
      <c r="L17" s="276"/>
    </row>
    <row r="18" spans="1:12" s="10" customFormat="1" ht="15" customHeight="1" thickBot="1" x14ac:dyDescent="0.3">
      <c r="A18" s="340" t="s">
        <v>362</v>
      </c>
      <c r="B18" s="24">
        <f>B14-B17</f>
        <v>9214.1199999996461</v>
      </c>
      <c r="C18" s="24">
        <f>C14-C17</f>
        <v>-33230</v>
      </c>
      <c r="D18" s="24">
        <f>D14-D17</f>
        <v>-33230</v>
      </c>
      <c r="E18" s="24">
        <f>E14-E17</f>
        <v>-231223.85000000009</v>
      </c>
      <c r="F18" s="29"/>
      <c r="G18" s="30"/>
      <c r="J18" s="271"/>
      <c r="K18" s="275"/>
      <c r="L18" s="271"/>
    </row>
    <row r="19" spans="1:12" s="14" customFormat="1" ht="22.5" customHeight="1" thickBot="1" x14ac:dyDescent="0.3">
      <c r="A19" s="341" t="s">
        <v>363</v>
      </c>
      <c r="B19" s="281" t="s">
        <v>0</v>
      </c>
      <c r="C19" s="256" t="s">
        <v>0</v>
      </c>
      <c r="D19" s="256" t="s">
        <v>0</v>
      </c>
      <c r="E19" s="256" t="s">
        <v>0</v>
      </c>
      <c r="F19" s="31"/>
      <c r="G19" s="32"/>
      <c r="J19" s="272"/>
      <c r="K19" s="278"/>
      <c r="L19" s="273"/>
    </row>
    <row r="20" spans="1:12" s="14" customFormat="1" ht="18.75" customHeight="1" x14ac:dyDescent="0.25">
      <c r="A20" s="23" t="s">
        <v>228</v>
      </c>
      <c r="B20" s="338">
        <v>0</v>
      </c>
      <c r="C20" s="16">
        <v>0</v>
      </c>
      <c r="D20" s="16">
        <v>0</v>
      </c>
      <c r="E20" s="16">
        <v>0</v>
      </c>
      <c r="F20" s="33"/>
      <c r="G20" s="34"/>
      <c r="J20" s="272"/>
      <c r="K20" s="278"/>
      <c r="L20" s="273"/>
    </row>
    <row r="21" spans="1:12" s="14" customFormat="1" ht="18.75" customHeight="1" x14ac:dyDescent="0.25">
      <c r="A21" s="21" t="s">
        <v>229</v>
      </c>
      <c r="B21" s="20">
        <v>0</v>
      </c>
      <c r="C21" s="20">
        <v>0</v>
      </c>
      <c r="D21" s="20">
        <v>0</v>
      </c>
      <c r="E21" s="20">
        <v>0</v>
      </c>
      <c r="F21" s="35"/>
      <c r="G21" s="36"/>
      <c r="J21" s="272"/>
      <c r="K21" s="278"/>
      <c r="L21" s="273"/>
    </row>
    <row r="22" spans="1:12" s="98" customFormat="1" ht="18.75" customHeight="1" x14ac:dyDescent="0.25">
      <c r="A22" s="342" t="s">
        <v>364</v>
      </c>
      <c r="B22" s="331">
        <f>B20-B21</f>
        <v>0</v>
      </c>
      <c r="C22" s="382">
        <f t="shared" ref="C22:E22" si="2">C20-C21</f>
        <v>0</v>
      </c>
      <c r="D22" s="382">
        <f t="shared" si="2"/>
        <v>0</v>
      </c>
      <c r="E22" s="382">
        <f t="shared" si="2"/>
        <v>0</v>
      </c>
      <c r="F22" s="37"/>
      <c r="G22" s="38"/>
      <c r="J22" s="272"/>
      <c r="K22" s="278"/>
      <c r="L22" s="273"/>
    </row>
    <row r="23" spans="1:12" s="14" customFormat="1" ht="18.75" customHeight="1" x14ac:dyDescent="0.25">
      <c r="A23" s="362" t="s">
        <v>370</v>
      </c>
      <c r="B23" s="331">
        <v>24015.27</v>
      </c>
      <c r="C23" s="382">
        <v>33230</v>
      </c>
      <c r="D23" s="382">
        <v>33230</v>
      </c>
      <c r="E23" s="382">
        <v>33229.39</v>
      </c>
      <c r="F23" s="37"/>
      <c r="G23" s="38"/>
      <c r="J23" s="272"/>
      <c r="K23" s="273"/>
      <c r="L23" s="273"/>
    </row>
    <row r="24" spans="1:12" s="14" customFormat="1" ht="18.75" customHeight="1" thickBot="1" x14ac:dyDescent="0.3">
      <c r="A24" s="363" t="s">
        <v>371</v>
      </c>
      <c r="B24" s="337"/>
      <c r="C24" s="384">
        <f>C18+C23</f>
        <v>0</v>
      </c>
      <c r="D24" s="384">
        <f>D18+D23</f>
        <v>0</v>
      </c>
      <c r="E24" s="384">
        <v>26592.63</v>
      </c>
      <c r="F24" s="39"/>
      <c r="G24" s="40"/>
      <c r="J24" s="272"/>
      <c r="K24" s="273"/>
      <c r="L24" s="273"/>
    </row>
    <row r="25" spans="1:12" ht="8.25" customHeight="1" thickTop="1" x14ac:dyDescent="0.25">
      <c r="A25" s="6"/>
      <c r="B25" s="4"/>
      <c r="C25" s="257"/>
      <c r="D25" s="4"/>
      <c r="E25" s="4"/>
      <c r="F25" s="5"/>
      <c r="G25" s="5"/>
      <c r="J25" s="229"/>
      <c r="K25" s="279"/>
      <c r="L25" s="279"/>
    </row>
    <row r="26" spans="1:12" x14ac:dyDescent="0.25">
      <c r="C26" s="93"/>
      <c r="D26" s="93"/>
      <c r="J26" s="229"/>
      <c r="K26" s="279"/>
      <c r="L26" s="279"/>
    </row>
    <row r="27" spans="1:12" x14ac:dyDescent="0.25">
      <c r="J27" s="229"/>
      <c r="K27" s="279"/>
      <c r="L27" s="279"/>
    </row>
    <row r="28" spans="1:12" x14ac:dyDescent="0.25">
      <c r="J28" s="229"/>
      <c r="K28" s="279"/>
      <c r="L28" s="279"/>
    </row>
    <row r="29" spans="1:12" ht="12.75" customHeight="1" x14ac:dyDescent="0.25">
      <c r="J29" s="229"/>
      <c r="K29" s="279"/>
      <c r="L29" s="279"/>
    </row>
    <row r="34" ht="36.75" customHeight="1" x14ac:dyDescent="0.25"/>
    <row r="36" ht="28.5" customHeight="1" x14ac:dyDescent="0.25"/>
  </sheetData>
  <mergeCells count="3">
    <mergeCell ref="A6:G6"/>
    <mergeCell ref="A7:G7"/>
    <mergeCell ref="A8:F8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4"/>
  <sheetViews>
    <sheetView workbookViewId="0">
      <selection activeCell="D51" sqref="D51:D55"/>
    </sheetView>
  </sheetViews>
  <sheetFormatPr defaultRowHeight="13.2" x14ac:dyDescent="0.25"/>
  <cols>
    <col min="1" max="1" width="78.44140625" customWidth="1"/>
    <col min="2" max="2" width="18.44140625" style="41" customWidth="1"/>
    <col min="3" max="3" width="18.33203125" style="93" customWidth="1"/>
    <col min="4" max="4" width="16.5546875" style="93" customWidth="1"/>
    <col min="5" max="5" width="20" style="93" customWidth="1"/>
    <col min="6" max="7" width="7.5546875" customWidth="1"/>
    <col min="10" max="10" width="15" style="252" customWidth="1"/>
  </cols>
  <sheetData>
    <row r="1" spans="1:10" s="9" customFormat="1" x14ac:dyDescent="0.25">
      <c r="A1" s="9" t="s">
        <v>221</v>
      </c>
      <c r="B1" s="41"/>
      <c r="C1" s="93"/>
      <c r="D1" s="93"/>
      <c r="E1" s="93"/>
      <c r="J1" s="252"/>
    </row>
    <row r="2" spans="1:10" s="9" customFormat="1" x14ac:dyDescent="0.25">
      <c r="A2" s="9" t="s">
        <v>222</v>
      </c>
      <c r="B2" s="41"/>
      <c r="C2" s="93"/>
      <c r="D2" s="93"/>
      <c r="E2" s="93"/>
      <c r="J2" s="252"/>
    </row>
    <row r="3" spans="1:10" s="9" customFormat="1" x14ac:dyDescent="0.25">
      <c r="A3" s="9" t="s">
        <v>223</v>
      </c>
      <c r="B3" s="41"/>
      <c r="C3" s="93"/>
      <c r="D3" s="93"/>
      <c r="E3" s="93"/>
      <c r="J3" s="252"/>
    </row>
    <row r="4" spans="1:10" s="9" customFormat="1" x14ac:dyDescent="0.25">
      <c r="A4" s="9" t="s">
        <v>224</v>
      </c>
      <c r="B4" s="41"/>
      <c r="C4" s="93"/>
      <c r="D4" s="93"/>
      <c r="E4" s="93"/>
      <c r="J4" s="252"/>
    </row>
    <row r="5" spans="1:10" x14ac:dyDescent="0.25">
      <c r="A5" s="390"/>
      <c r="B5" s="390"/>
      <c r="C5" s="390"/>
      <c r="D5" s="390"/>
      <c r="E5" s="390"/>
      <c r="F5" s="390"/>
      <c r="G5" s="390"/>
    </row>
    <row r="6" spans="1:10" s="1" customFormat="1" ht="24.75" customHeight="1" x14ac:dyDescent="0.3">
      <c r="A6" s="385" t="s">
        <v>358</v>
      </c>
      <c r="B6" s="385"/>
      <c r="C6" s="385"/>
      <c r="D6" s="385"/>
      <c r="E6" s="385"/>
      <c r="F6" s="385"/>
      <c r="G6" s="385"/>
      <c r="J6" s="253"/>
    </row>
    <row r="7" spans="1:10" s="2" customFormat="1" ht="24.75" customHeight="1" x14ac:dyDescent="0.3">
      <c r="A7" s="392" t="s">
        <v>15</v>
      </c>
      <c r="B7" s="393"/>
      <c r="C7" s="393"/>
      <c r="D7" s="393"/>
      <c r="E7" s="393"/>
      <c r="F7" s="393"/>
      <c r="G7" s="393"/>
      <c r="J7" s="258"/>
    </row>
    <row r="8" spans="1:10" ht="24.75" customHeight="1" x14ac:dyDescent="0.25">
      <c r="A8" s="386" t="s">
        <v>372</v>
      </c>
      <c r="B8" s="387"/>
      <c r="C8" s="387"/>
      <c r="D8" s="387"/>
      <c r="E8" s="387"/>
      <c r="F8" s="387"/>
      <c r="G8" s="387"/>
    </row>
    <row r="9" spans="1:10" s="102" customFormat="1" x14ac:dyDescent="0.25">
      <c r="A9" s="388" t="s">
        <v>225</v>
      </c>
      <c r="B9" s="389"/>
      <c r="C9" s="389"/>
      <c r="D9" s="389"/>
      <c r="E9" s="389"/>
      <c r="F9" s="389"/>
      <c r="J9" s="252"/>
    </row>
    <row r="10" spans="1:10" ht="13.8" thickBot="1" x14ac:dyDescent="0.3">
      <c r="A10" s="391" t="s">
        <v>0</v>
      </c>
      <c r="B10" s="391"/>
      <c r="C10" s="391"/>
      <c r="D10" s="391"/>
      <c r="E10" s="391"/>
      <c r="F10" s="391"/>
      <c r="G10" s="391"/>
    </row>
    <row r="11" spans="1:10" s="10" customFormat="1" ht="26.25" customHeight="1" thickTop="1" thickBot="1" x14ac:dyDescent="0.3">
      <c r="A11" s="47" t="s">
        <v>1</v>
      </c>
      <c r="B11" s="211" t="s">
        <v>373</v>
      </c>
      <c r="C11" s="285" t="s">
        <v>359</v>
      </c>
      <c r="D11" s="211" t="s">
        <v>360</v>
      </c>
      <c r="E11" s="211" t="s">
        <v>375</v>
      </c>
      <c r="F11" s="262" t="s">
        <v>2</v>
      </c>
      <c r="G11" s="263" t="s">
        <v>3</v>
      </c>
      <c r="J11" s="251"/>
    </row>
    <row r="12" spans="1:10" s="14" customFormat="1" ht="18.75" customHeight="1" thickTop="1" thickBot="1" x14ac:dyDescent="0.3">
      <c r="A12" s="166"/>
      <c r="B12" s="317" t="s">
        <v>4</v>
      </c>
      <c r="C12" s="317" t="s">
        <v>5</v>
      </c>
      <c r="D12" s="317" t="s">
        <v>6</v>
      </c>
      <c r="E12" s="317" t="s">
        <v>7</v>
      </c>
      <c r="F12" s="18" t="s">
        <v>8</v>
      </c>
      <c r="G12" s="19" t="s">
        <v>9</v>
      </c>
      <c r="J12" s="254"/>
    </row>
    <row r="13" spans="1:10" s="98" customFormat="1" ht="18.75" customHeight="1" thickBot="1" x14ac:dyDescent="0.3">
      <c r="A13" s="222" t="s">
        <v>252</v>
      </c>
      <c r="B13" s="318">
        <f>B14+B47</f>
        <v>2127314.67</v>
      </c>
      <c r="C13" s="318">
        <f>C14+C47</f>
        <v>2494850</v>
      </c>
      <c r="D13" s="318">
        <f>D14+D47</f>
        <v>2576320</v>
      </c>
      <c r="E13" s="318">
        <f>E14+E47</f>
        <v>2312949.3400000003</v>
      </c>
      <c r="F13" s="223"/>
      <c r="G13" s="224"/>
      <c r="J13" s="254"/>
    </row>
    <row r="14" spans="1:10" s="180" customFormat="1" ht="18" customHeight="1" thickBot="1" x14ac:dyDescent="0.3">
      <c r="A14" s="176" t="s">
        <v>10</v>
      </c>
      <c r="B14" s="177">
        <f>B15+B28+B31+B34+B40+B44</f>
        <v>2127314.67</v>
      </c>
      <c r="C14" s="177">
        <f>C15+C28+C31+C34+C40+C44</f>
        <v>2494850</v>
      </c>
      <c r="D14" s="177">
        <f>D15+D28+D31+D34+D40+D44</f>
        <v>2576320</v>
      </c>
      <c r="E14" s="177">
        <f>E15+E28+E31+E34+E40+E44</f>
        <v>2312949.3400000003</v>
      </c>
      <c r="F14" s="178">
        <f>E14/B14*100</f>
        <v>108.72624405866577</v>
      </c>
      <c r="G14" s="179">
        <f>E14/D14*100</f>
        <v>89.777253602037021</v>
      </c>
      <c r="J14" s="259"/>
    </row>
    <row r="15" spans="1:10" x14ac:dyDescent="0.25">
      <c r="A15" s="56" t="s">
        <v>16</v>
      </c>
      <c r="B15" s="319">
        <f>B16+B19+B21+B24+B26</f>
        <v>1842994.62</v>
      </c>
      <c r="C15" s="319">
        <f>C16+C19+C21+C24+C26</f>
        <v>2133022</v>
      </c>
      <c r="D15" s="319">
        <f>D16+D19+D21+D24+D26</f>
        <v>2200922</v>
      </c>
      <c r="E15" s="319">
        <f>E16+E19+E21+E24+E26</f>
        <v>2002528.27</v>
      </c>
      <c r="F15" s="68">
        <f t="shared" ref="F15:F62" si="0">E15/B15*100</f>
        <v>108.65621897474665</v>
      </c>
      <c r="G15" s="69">
        <f t="shared" ref="G15:G62" si="1">E15/D15*100</f>
        <v>90.985880917179259</v>
      </c>
    </row>
    <row r="16" spans="1:10" x14ac:dyDescent="0.25">
      <c r="A16" s="55" t="s">
        <v>232</v>
      </c>
      <c r="B16" s="320">
        <f>SUM(B17:B18)</f>
        <v>0</v>
      </c>
      <c r="C16" s="320">
        <f>SUM(C17:C18)</f>
        <v>5500</v>
      </c>
      <c r="D16" s="320">
        <f>SUM(D17:D18)</f>
        <v>5500</v>
      </c>
      <c r="E16" s="320">
        <f>SUM(E17:E18)</f>
        <v>0</v>
      </c>
      <c r="F16" s="70"/>
      <c r="G16" s="71"/>
    </row>
    <row r="17" spans="1:10" x14ac:dyDescent="0.25">
      <c r="A17" s="44" t="s">
        <v>233</v>
      </c>
      <c r="B17" s="321">
        <v>0</v>
      </c>
      <c r="C17" s="321">
        <v>5500</v>
      </c>
      <c r="D17" s="321">
        <v>5500</v>
      </c>
      <c r="E17" s="321">
        <v>0</v>
      </c>
      <c r="F17" s="72"/>
      <c r="G17" s="73"/>
    </row>
    <row r="18" spans="1:10" s="102" customFormat="1" x14ac:dyDescent="0.25">
      <c r="A18" s="44" t="s">
        <v>340</v>
      </c>
      <c r="B18" s="321">
        <v>0</v>
      </c>
      <c r="C18" s="321">
        <v>0</v>
      </c>
      <c r="D18" s="321">
        <v>0</v>
      </c>
      <c r="E18" s="321">
        <v>0</v>
      </c>
      <c r="F18" s="72"/>
      <c r="G18" s="73"/>
      <c r="J18" s="252"/>
    </row>
    <row r="19" spans="1:10" x14ac:dyDescent="0.25">
      <c r="A19" s="42" t="s">
        <v>17</v>
      </c>
      <c r="B19" s="322">
        <f>B20</f>
        <v>20561.400000000001</v>
      </c>
      <c r="C19" s="322">
        <f>C20</f>
        <v>6500</v>
      </c>
      <c r="D19" s="322">
        <f>D20</f>
        <v>6500</v>
      </c>
      <c r="E19" s="322">
        <f>E20</f>
        <v>74.680000000000007</v>
      </c>
      <c r="F19" s="74"/>
      <c r="G19" s="75"/>
    </row>
    <row r="20" spans="1:10" x14ac:dyDescent="0.25">
      <c r="A20" s="43" t="s">
        <v>18</v>
      </c>
      <c r="B20" s="321">
        <v>20561.400000000001</v>
      </c>
      <c r="C20" s="321">
        <v>6500</v>
      </c>
      <c r="D20" s="321">
        <v>6500</v>
      </c>
      <c r="E20" s="321">
        <v>74.680000000000007</v>
      </c>
      <c r="F20" s="72"/>
      <c r="G20" s="73"/>
    </row>
    <row r="21" spans="1:10" x14ac:dyDescent="0.25">
      <c r="A21" s="42" t="s">
        <v>19</v>
      </c>
      <c r="B21" s="322">
        <f>B22+B23</f>
        <v>1801479.35</v>
      </c>
      <c r="C21" s="322">
        <f>C22+C23</f>
        <v>2037422</v>
      </c>
      <c r="D21" s="322">
        <f>D22+D23</f>
        <v>2110422</v>
      </c>
      <c r="E21" s="322">
        <f>E22+E23</f>
        <v>1931732.02</v>
      </c>
      <c r="F21" s="74"/>
      <c r="G21" s="75"/>
    </row>
    <row r="22" spans="1:10" x14ac:dyDescent="0.25">
      <c r="A22" s="43" t="s">
        <v>20</v>
      </c>
      <c r="B22" s="321">
        <v>1799095.86</v>
      </c>
      <c r="C22" s="321">
        <v>2027422</v>
      </c>
      <c r="D22" s="321">
        <v>2100422</v>
      </c>
      <c r="E22" s="321">
        <v>1927978.72</v>
      </c>
      <c r="F22" s="72"/>
      <c r="G22" s="73"/>
    </row>
    <row r="23" spans="1:10" x14ac:dyDescent="0.25">
      <c r="A23" s="43" t="s">
        <v>21</v>
      </c>
      <c r="B23" s="321">
        <v>2383.4899999999998</v>
      </c>
      <c r="C23" s="321">
        <v>10000</v>
      </c>
      <c r="D23" s="321">
        <v>10000</v>
      </c>
      <c r="E23" s="321">
        <v>3753.3</v>
      </c>
      <c r="F23" s="72"/>
      <c r="G23" s="73"/>
    </row>
    <row r="24" spans="1:10" x14ac:dyDescent="0.25">
      <c r="A24" s="42" t="s">
        <v>22</v>
      </c>
      <c r="B24" s="322">
        <f>B25</f>
        <v>0</v>
      </c>
      <c r="C24" s="322">
        <f t="shared" ref="C24:E24" si="2">C25</f>
        <v>0</v>
      </c>
      <c r="D24" s="322">
        <f t="shared" si="2"/>
        <v>0</v>
      </c>
      <c r="E24" s="322">
        <f t="shared" si="2"/>
        <v>0</v>
      </c>
      <c r="F24" s="74"/>
      <c r="G24" s="75"/>
    </row>
    <row r="25" spans="1:10" x14ac:dyDescent="0.25">
      <c r="A25" s="43" t="s">
        <v>23</v>
      </c>
      <c r="B25" s="321">
        <v>0</v>
      </c>
      <c r="C25" s="321">
        <v>0</v>
      </c>
      <c r="D25" s="321">
        <v>0</v>
      </c>
      <c r="E25" s="321">
        <v>0</v>
      </c>
      <c r="F25" s="72"/>
      <c r="G25" s="73"/>
    </row>
    <row r="26" spans="1:10" x14ac:dyDescent="0.25">
      <c r="A26" s="42" t="s">
        <v>24</v>
      </c>
      <c r="B26" s="322">
        <f>B27</f>
        <v>20953.87</v>
      </c>
      <c r="C26" s="322">
        <f>C27</f>
        <v>83600</v>
      </c>
      <c r="D26" s="322">
        <f>D27</f>
        <v>78500</v>
      </c>
      <c r="E26" s="322">
        <f>E27</f>
        <v>70721.570000000007</v>
      </c>
      <c r="F26" s="74"/>
      <c r="G26" s="75"/>
    </row>
    <row r="27" spans="1:10" ht="25.95" customHeight="1" x14ac:dyDescent="0.25">
      <c r="A27" s="57" t="s">
        <v>25</v>
      </c>
      <c r="B27" s="54">
        <v>20953.87</v>
      </c>
      <c r="C27" s="54">
        <v>83600</v>
      </c>
      <c r="D27" s="54">
        <v>78500</v>
      </c>
      <c r="E27" s="54">
        <v>70721.570000000007</v>
      </c>
      <c r="F27" s="76"/>
      <c r="G27" s="77"/>
    </row>
    <row r="28" spans="1:10" x14ac:dyDescent="0.25">
      <c r="A28" s="51" t="s">
        <v>26</v>
      </c>
      <c r="B28" s="323">
        <f t="shared" ref="B28:E29" si="3">B29</f>
        <v>0</v>
      </c>
      <c r="C28" s="323">
        <f t="shared" si="3"/>
        <v>30</v>
      </c>
      <c r="D28" s="323">
        <f t="shared" si="3"/>
        <v>30</v>
      </c>
      <c r="E28" s="323">
        <f t="shared" si="3"/>
        <v>0</v>
      </c>
      <c r="F28" s="78"/>
      <c r="G28" s="79">
        <f t="shared" si="1"/>
        <v>0</v>
      </c>
    </row>
    <row r="29" spans="1:10" x14ac:dyDescent="0.25">
      <c r="A29" s="48" t="s">
        <v>27</v>
      </c>
      <c r="B29" s="320">
        <f t="shared" si="3"/>
        <v>0</v>
      </c>
      <c r="C29" s="320">
        <f t="shared" si="3"/>
        <v>30</v>
      </c>
      <c r="D29" s="320">
        <f t="shared" si="3"/>
        <v>30</v>
      </c>
      <c r="E29" s="320">
        <f t="shared" si="3"/>
        <v>0</v>
      </c>
      <c r="F29" s="70"/>
      <c r="G29" s="71">
        <f t="shared" si="1"/>
        <v>0</v>
      </c>
    </row>
    <row r="30" spans="1:10" x14ac:dyDescent="0.25">
      <c r="A30" s="58" t="s">
        <v>234</v>
      </c>
      <c r="B30" s="54">
        <v>0</v>
      </c>
      <c r="C30" s="54">
        <v>30</v>
      </c>
      <c r="D30" s="54">
        <v>30</v>
      </c>
      <c r="E30" s="54">
        <v>0</v>
      </c>
      <c r="F30" s="76"/>
      <c r="G30" s="77"/>
    </row>
    <row r="31" spans="1:10" ht="25.95" customHeight="1" x14ac:dyDescent="0.25">
      <c r="A31" s="59" t="s">
        <v>28</v>
      </c>
      <c r="B31" s="323">
        <f t="shared" ref="B31:E32" si="4">B32</f>
        <v>36080.5</v>
      </c>
      <c r="C31" s="323">
        <f t="shared" si="4"/>
        <v>55600</v>
      </c>
      <c r="D31" s="323">
        <f t="shared" si="4"/>
        <v>55600</v>
      </c>
      <c r="E31" s="323">
        <f t="shared" si="4"/>
        <v>50746.82</v>
      </c>
      <c r="F31" s="78">
        <f t="shared" si="0"/>
        <v>140.6488823602777</v>
      </c>
      <c r="G31" s="79">
        <f t="shared" si="1"/>
        <v>91.271258992805755</v>
      </c>
    </row>
    <row r="32" spans="1:10" x14ac:dyDescent="0.25">
      <c r="A32" s="48" t="s">
        <v>29</v>
      </c>
      <c r="B32" s="320">
        <f t="shared" si="4"/>
        <v>36080.5</v>
      </c>
      <c r="C32" s="320">
        <f t="shared" si="4"/>
        <v>55600</v>
      </c>
      <c r="D32" s="320">
        <f t="shared" si="4"/>
        <v>55600</v>
      </c>
      <c r="E32" s="320">
        <f t="shared" si="4"/>
        <v>50746.82</v>
      </c>
      <c r="F32" s="70"/>
      <c r="G32" s="71"/>
    </row>
    <row r="33" spans="1:10" x14ac:dyDescent="0.25">
      <c r="A33" s="50" t="s">
        <v>30</v>
      </c>
      <c r="B33" s="54">
        <v>36080.5</v>
      </c>
      <c r="C33" s="54">
        <v>55600</v>
      </c>
      <c r="D33" s="54">
        <v>55600</v>
      </c>
      <c r="E33" s="54">
        <v>50746.82</v>
      </c>
      <c r="F33" s="76"/>
      <c r="G33" s="77"/>
    </row>
    <row r="34" spans="1:10" x14ac:dyDescent="0.25">
      <c r="A34" s="60" t="s">
        <v>235</v>
      </c>
      <c r="B34" s="323">
        <f>B35+B37</f>
        <v>17509.439999999999</v>
      </c>
      <c r="C34" s="323">
        <f>C35+C37</f>
        <v>26843</v>
      </c>
      <c r="D34" s="323">
        <f>D35+D37</f>
        <v>28993</v>
      </c>
      <c r="E34" s="323">
        <f>E35+E37</f>
        <v>17585.919999999998</v>
      </c>
      <c r="F34" s="78">
        <f t="shared" si="0"/>
        <v>100.43679295283002</v>
      </c>
      <c r="G34" s="79">
        <f t="shared" si="1"/>
        <v>60.655744490049315</v>
      </c>
    </row>
    <row r="35" spans="1:10" x14ac:dyDescent="0.25">
      <c r="A35" s="55" t="s">
        <v>236</v>
      </c>
      <c r="B35" s="320">
        <f>B36</f>
        <v>15586.6</v>
      </c>
      <c r="C35" s="320">
        <f>C36</f>
        <v>22700</v>
      </c>
      <c r="D35" s="320">
        <f>D36</f>
        <v>22700</v>
      </c>
      <c r="E35" s="320">
        <f>E36</f>
        <v>13734</v>
      </c>
      <c r="F35" s="70"/>
      <c r="G35" s="71"/>
    </row>
    <row r="36" spans="1:10" x14ac:dyDescent="0.25">
      <c r="A36" s="43" t="s">
        <v>31</v>
      </c>
      <c r="B36" s="321">
        <v>15586.6</v>
      </c>
      <c r="C36" s="321">
        <v>22700</v>
      </c>
      <c r="D36" s="321">
        <v>22700</v>
      </c>
      <c r="E36" s="321">
        <v>13734</v>
      </c>
      <c r="F36" s="72"/>
      <c r="G36" s="73"/>
    </row>
    <row r="37" spans="1:10" x14ac:dyDescent="0.25">
      <c r="A37" s="42" t="s">
        <v>32</v>
      </c>
      <c r="B37" s="322">
        <f>B38+B39</f>
        <v>1922.84</v>
      </c>
      <c r="C37" s="322">
        <f>C38+C39</f>
        <v>4143</v>
      </c>
      <c r="D37" s="322">
        <f>D38+D39</f>
        <v>6293</v>
      </c>
      <c r="E37" s="322">
        <f>E38+E39</f>
        <v>3851.92</v>
      </c>
      <c r="F37" s="74"/>
      <c r="G37" s="75"/>
    </row>
    <row r="38" spans="1:10" x14ac:dyDescent="0.25">
      <c r="A38" s="43" t="s">
        <v>33</v>
      </c>
      <c r="B38" s="321">
        <v>1922.84</v>
      </c>
      <c r="C38" s="321">
        <v>4143</v>
      </c>
      <c r="D38" s="321">
        <v>4143</v>
      </c>
      <c r="E38" s="321">
        <v>1706.92</v>
      </c>
      <c r="F38" s="72"/>
      <c r="G38" s="73"/>
    </row>
    <row r="39" spans="1:10" x14ac:dyDescent="0.25">
      <c r="A39" s="50" t="s">
        <v>34</v>
      </c>
      <c r="B39" s="54">
        <v>0</v>
      </c>
      <c r="C39" s="54">
        <v>0</v>
      </c>
      <c r="D39" s="54">
        <v>2150</v>
      </c>
      <c r="E39" s="54">
        <v>2145</v>
      </c>
      <c r="F39" s="76"/>
      <c r="G39" s="77"/>
    </row>
    <row r="40" spans="1:10" s="9" customFormat="1" x14ac:dyDescent="0.25">
      <c r="A40" s="65" t="s">
        <v>243</v>
      </c>
      <c r="B40" s="323">
        <f>B41</f>
        <v>230365.1</v>
      </c>
      <c r="C40" s="323">
        <f>C41</f>
        <v>278855</v>
      </c>
      <c r="D40" s="323">
        <f>D41</f>
        <v>290275</v>
      </c>
      <c r="E40" s="323">
        <f>E41</f>
        <v>241720.92</v>
      </c>
      <c r="F40" s="80">
        <f t="shared" si="0"/>
        <v>104.9294880170651</v>
      </c>
      <c r="G40" s="81">
        <f t="shared" si="1"/>
        <v>83.273075531823267</v>
      </c>
      <c r="J40" s="252"/>
    </row>
    <row r="41" spans="1:10" s="9" customFormat="1" x14ac:dyDescent="0.25">
      <c r="A41" s="64" t="s">
        <v>244</v>
      </c>
      <c r="B41" s="320">
        <f>B42+B43</f>
        <v>230365.1</v>
      </c>
      <c r="C41" s="320">
        <f>C42+C43</f>
        <v>278855</v>
      </c>
      <c r="D41" s="320">
        <f>D42+D43</f>
        <v>290275</v>
      </c>
      <c r="E41" s="320">
        <f>E42+E43</f>
        <v>241720.92</v>
      </c>
      <c r="F41" s="82"/>
      <c r="G41" s="83"/>
      <c r="J41" s="252"/>
    </row>
    <row r="42" spans="1:10" s="9" customFormat="1" x14ac:dyDescent="0.25">
      <c r="A42" s="45" t="s">
        <v>245</v>
      </c>
      <c r="B42" s="321">
        <v>221987.53</v>
      </c>
      <c r="C42" s="321">
        <f>110960+128000+12458+4140+7500</f>
        <v>263058</v>
      </c>
      <c r="D42" s="321">
        <f>115038+139420+12458+4140+7500</f>
        <v>278556</v>
      </c>
      <c r="E42" s="321">
        <v>230988.42</v>
      </c>
      <c r="F42" s="72"/>
      <c r="G42" s="73"/>
      <c r="J42" s="252"/>
    </row>
    <row r="43" spans="1:10" s="9" customFormat="1" x14ac:dyDescent="0.25">
      <c r="A43" s="63" t="s">
        <v>246</v>
      </c>
      <c r="B43" s="324">
        <v>8377.57</v>
      </c>
      <c r="C43" s="324">
        <f>11800+3997</f>
        <v>15797</v>
      </c>
      <c r="D43" s="324">
        <f>7722+3997</f>
        <v>11719</v>
      </c>
      <c r="E43" s="324">
        <v>10732.5</v>
      </c>
      <c r="F43" s="84"/>
      <c r="G43" s="85"/>
      <c r="J43" s="252"/>
    </row>
    <row r="44" spans="1:10" x14ac:dyDescent="0.25">
      <c r="A44" s="51" t="s">
        <v>35</v>
      </c>
      <c r="B44" s="323">
        <f t="shared" ref="B44:E45" si="5">B45</f>
        <v>365.01</v>
      </c>
      <c r="C44" s="323">
        <f t="shared" si="5"/>
        <v>500</v>
      </c>
      <c r="D44" s="323">
        <f t="shared" si="5"/>
        <v>500</v>
      </c>
      <c r="E44" s="323">
        <f t="shared" si="5"/>
        <v>367.41</v>
      </c>
      <c r="F44" s="78">
        <f>E44/B44*100</f>
        <v>100.657516232432</v>
      </c>
      <c r="G44" s="79">
        <f t="shared" si="1"/>
        <v>73.481999999999999</v>
      </c>
    </row>
    <row r="45" spans="1:10" x14ac:dyDescent="0.25">
      <c r="A45" s="163" t="s">
        <v>36</v>
      </c>
      <c r="B45" s="325">
        <f t="shared" si="5"/>
        <v>365.01</v>
      </c>
      <c r="C45" s="325">
        <f t="shared" si="5"/>
        <v>500</v>
      </c>
      <c r="D45" s="325">
        <f t="shared" si="5"/>
        <v>500</v>
      </c>
      <c r="E45" s="325">
        <f t="shared" si="5"/>
        <v>367.41</v>
      </c>
      <c r="F45" s="164"/>
      <c r="G45" s="165"/>
    </row>
    <row r="46" spans="1:10" ht="13.8" thickBot="1" x14ac:dyDescent="0.3">
      <c r="A46" s="221" t="s">
        <v>37</v>
      </c>
      <c r="B46" s="326">
        <v>365.01</v>
      </c>
      <c r="C46" s="326">
        <v>500</v>
      </c>
      <c r="D46" s="326">
        <v>500</v>
      </c>
      <c r="E46" s="326">
        <v>367.41</v>
      </c>
      <c r="F46" s="215"/>
      <c r="G46" s="216"/>
    </row>
    <row r="47" spans="1:10" s="180" customFormat="1" ht="18" customHeight="1" thickBot="1" x14ac:dyDescent="0.3">
      <c r="A47" s="217" t="s">
        <v>310</v>
      </c>
      <c r="B47" s="218">
        <f>B48</f>
        <v>0</v>
      </c>
      <c r="C47" s="218">
        <f t="shared" ref="C47:F49" si="6">C48</f>
        <v>0</v>
      </c>
      <c r="D47" s="218">
        <f t="shared" si="6"/>
        <v>0</v>
      </c>
      <c r="E47" s="218">
        <f t="shared" si="6"/>
        <v>0</v>
      </c>
      <c r="F47" s="219">
        <f t="shared" si="6"/>
        <v>0</v>
      </c>
      <c r="G47" s="220" t="e">
        <f>E47/D47*100</f>
        <v>#DIV/0!</v>
      </c>
      <c r="J47" s="259"/>
    </row>
    <row r="48" spans="1:10" s="102" customFormat="1" x14ac:dyDescent="0.25">
      <c r="A48" s="212" t="s">
        <v>311</v>
      </c>
      <c r="B48" s="319">
        <f>B49</f>
        <v>0</v>
      </c>
      <c r="C48" s="319">
        <f t="shared" si="6"/>
        <v>0</v>
      </c>
      <c r="D48" s="319">
        <f t="shared" si="6"/>
        <v>0</v>
      </c>
      <c r="E48" s="319">
        <f t="shared" si="6"/>
        <v>0</v>
      </c>
      <c r="F48" s="68">
        <f t="shared" si="6"/>
        <v>0</v>
      </c>
      <c r="G48" s="69" t="e">
        <f>E48/D48*100</f>
        <v>#DIV/0!</v>
      </c>
      <c r="J48" s="252"/>
    </row>
    <row r="49" spans="1:10" s="102" customFormat="1" x14ac:dyDescent="0.25">
      <c r="A49" s="213" t="s">
        <v>312</v>
      </c>
      <c r="B49" s="320">
        <f>B50</f>
        <v>0</v>
      </c>
      <c r="C49" s="320">
        <f t="shared" si="6"/>
        <v>0</v>
      </c>
      <c r="D49" s="320">
        <f t="shared" si="6"/>
        <v>0</v>
      </c>
      <c r="E49" s="320">
        <f t="shared" si="6"/>
        <v>0</v>
      </c>
      <c r="F49" s="70"/>
      <c r="G49" s="71"/>
      <c r="J49" s="252"/>
    </row>
    <row r="50" spans="1:10" s="102" customFormat="1" ht="13.8" thickBot="1" x14ac:dyDescent="0.3">
      <c r="A50" s="214" t="s">
        <v>313</v>
      </c>
      <c r="B50" s="326">
        <v>0</v>
      </c>
      <c r="C50" s="326">
        <v>0</v>
      </c>
      <c r="D50" s="326">
        <v>0</v>
      </c>
      <c r="E50" s="326">
        <v>0</v>
      </c>
      <c r="F50" s="215"/>
      <c r="G50" s="216"/>
      <c r="J50" s="252"/>
    </row>
    <row r="51" spans="1:10" s="175" customFormat="1" ht="21.75" customHeight="1" thickBot="1" x14ac:dyDescent="0.3">
      <c r="A51" s="171" t="s">
        <v>253</v>
      </c>
      <c r="B51" s="172">
        <f>B52+B104</f>
        <v>2118100.5499999998</v>
      </c>
      <c r="C51" s="172">
        <f>C52+C104</f>
        <v>2528080</v>
      </c>
      <c r="D51" s="172">
        <f>D52+D104</f>
        <v>2609550</v>
      </c>
      <c r="E51" s="172">
        <f>E52+E104</f>
        <v>2544173.1900000004</v>
      </c>
      <c r="F51" s="173"/>
      <c r="G51" s="174"/>
      <c r="J51" s="260"/>
    </row>
    <row r="52" spans="1:10" ht="18" customHeight="1" x14ac:dyDescent="0.25">
      <c r="A52" s="61" t="s">
        <v>12</v>
      </c>
      <c r="B52" s="327">
        <f>B53+B62+B93+B96+B99</f>
        <v>2100007.0799999996</v>
      </c>
      <c r="C52" s="327">
        <f>C53+C62+C93+C96+C99</f>
        <v>2483372</v>
      </c>
      <c r="D52" s="327">
        <f>D53+D62+D93+D96+D99</f>
        <v>2566770</v>
      </c>
      <c r="E52" s="327">
        <f>E53+E62+E93+E96+E99</f>
        <v>2510871.8000000003</v>
      </c>
      <c r="F52" s="86">
        <f t="shared" si="0"/>
        <v>119.56492070493402</v>
      </c>
      <c r="G52" s="87">
        <f t="shared" si="1"/>
        <v>97.822235728171989</v>
      </c>
    </row>
    <row r="53" spans="1:10" x14ac:dyDescent="0.25">
      <c r="A53" s="51" t="s">
        <v>38</v>
      </c>
      <c r="B53" s="323">
        <f>B54+B58+B60</f>
        <v>1751497.24</v>
      </c>
      <c r="C53" s="323">
        <f>C54+C58+C60</f>
        <v>2085135</v>
      </c>
      <c r="D53" s="323">
        <f>D54+D58+D60</f>
        <v>2161655</v>
      </c>
      <c r="E53" s="323">
        <f>E54+E58+E60</f>
        <v>2145198.1</v>
      </c>
      <c r="F53" s="78">
        <f t="shared" si="0"/>
        <v>122.47796062755999</v>
      </c>
      <c r="G53" s="79">
        <f t="shared" si="1"/>
        <v>99.23868980017626</v>
      </c>
    </row>
    <row r="54" spans="1:10" x14ac:dyDescent="0.25">
      <c r="A54" s="48" t="s">
        <v>39</v>
      </c>
      <c r="B54" s="320">
        <f>SUM(B55:B57)</f>
        <v>1463483.55</v>
      </c>
      <c r="C54" s="320">
        <f>SUM(C55:C57)</f>
        <v>1739435</v>
      </c>
      <c r="D54" s="320">
        <f>SUM(D55:D57)</f>
        <v>1807225</v>
      </c>
      <c r="E54" s="320">
        <f>SUM(E55:E57)</f>
        <v>1798209.1199999999</v>
      </c>
      <c r="F54" s="70"/>
      <c r="G54" s="71"/>
    </row>
    <row r="55" spans="1:10" x14ac:dyDescent="0.25">
      <c r="A55" s="43" t="s">
        <v>40</v>
      </c>
      <c r="B55" s="321">
        <v>1390403.11</v>
      </c>
      <c r="C55" s="321">
        <f>75000+21000+5300+1470000+7500+62900+20235</f>
        <v>1661935</v>
      </c>
      <c r="D55" s="321">
        <f>86500+21000+5200+1507000+7500+58900+20235</f>
        <v>1706335</v>
      </c>
      <c r="E55" s="321">
        <v>1698207.5</v>
      </c>
      <c r="F55" s="72"/>
      <c r="G55" s="73"/>
    </row>
    <row r="56" spans="1:10" x14ac:dyDescent="0.25">
      <c r="A56" s="43" t="s">
        <v>41</v>
      </c>
      <c r="B56" s="321">
        <v>25188.48</v>
      </c>
      <c r="C56" s="321">
        <f>31500</f>
        <v>31500</v>
      </c>
      <c r="D56" s="321">
        <f>42500+380</f>
        <v>42880</v>
      </c>
      <c r="E56" s="321">
        <v>43526.239999999998</v>
      </c>
      <c r="F56" s="72"/>
      <c r="G56" s="73"/>
    </row>
    <row r="57" spans="1:10" x14ac:dyDescent="0.25">
      <c r="A57" s="43" t="s">
        <v>42</v>
      </c>
      <c r="B57" s="321">
        <v>47891.96</v>
      </c>
      <c r="C57" s="321">
        <f>46000</f>
        <v>46000</v>
      </c>
      <c r="D57" s="321">
        <f>58000+10</f>
        <v>58010</v>
      </c>
      <c r="E57" s="321">
        <v>56475.38</v>
      </c>
      <c r="F57" s="72"/>
      <c r="G57" s="73"/>
    </row>
    <row r="58" spans="1:10" x14ac:dyDescent="0.25">
      <c r="A58" s="42" t="s">
        <v>43</v>
      </c>
      <c r="B58" s="322">
        <f>B59</f>
        <v>62449.16</v>
      </c>
      <c r="C58" s="322">
        <f>C59</f>
        <v>74300</v>
      </c>
      <c r="D58" s="322">
        <f>D59</f>
        <v>70960</v>
      </c>
      <c r="E58" s="322">
        <f>E59</f>
        <v>66332.61</v>
      </c>
      <c r="F58" s="74"/>
      <c r="G58" s="75"/>
    </row>
    <row r="59" spans="1:10" x14ac:dyDescent="0.25">
      <c r="A59" s="43" t="s">
        <v>44</v>
      </c>
      <c r="B59" s="321">
        <v>62449.16</v>
      </c>
      <c r="C59" s="321">
        <f>2600+1000+65900+4800</f>
        <v>74300</v>
      </c>
      <c r="D59" s="321">
        <f>3100+460+62900+4500</f>
        <v>70960</v>
      </c>
      <c r="E59" s="321">
        <v>66332.61</v>
      </c>
      <c r="F59" s="72"/>
      <c r="G59" s="73"/>
    </row>
    <row r="60" spans="1:10" x14ac:dyDescent="0.25">
      <c r="A60" s="42" t="s">
        <v>45</v>
      </c>
      <c r="B60" s="322">
        <f>SUM(B61:B61)</f>
        <v>225564.53</v>
      </c>
      <c r="C60" s="322">
        <f>SUM(C61:C61)</f>
        <v>271400</v>
      </c>
      <c r="D60" s="322">
        <f>SUM(D61:D61)</f>
        <v>283470</v>
      </c>
      <c r="E60" s="322">
        <f>SUM(E61:E61)</f>
        <v>280656.37</v>
      </c>
      <c r="F60" s="74"/>
      <c r="G60" s="75"/>
    </row>
    <row r="61" spans="1:10" x14ac:dyDescent="0.25">
      <c r="A61" s="43" t="s">
        <v>46</v>
      </c>
      <c r="B61" s="321">
        <v>225564.53</v>
      </c>
      <c r="C61" s="321">
        <f>12400+4000+900+242500+11600</f>
        <v>271400</v>
      </c>
      <c r="D61" s="321">
        <f>10770+4000+900+257000+10800</f>
        <v>283470</v>
      </c>
      <c r="E61" s="321">
        <v>280656.37</v>
      </c>
      <c r="F61" s="72"/>
      <c r="G61" s="73"/>
    </row>
    <row r="62" spans="1:10" x14ac:dyDescent="0.25">
      <c r="A62" s="51" t="s">
        <v>47</v>
      </c>
      <c r="B62" s="323">
        <f>B63+B68+B75+B85+B87</f>
        <v>286198.14999999997</v>
      </c>
      <c r="C62" s="323">
        <f>C63+C68+C75+C85+C87</f>
        <v>327277</v>
      </c>
      <c r="D62" s="323">
        <f>D63+D68+D75+D85+D87</f>
        <v>332180</v>
      </c>
      <c r="E62" s="323">
        <f>E63+E68+E75+E85+E87</f>
        <v>300974.73</v>
      </c>
      <c r="F62" s="78">
        <f t="shared" si="0"/>
        <v>105.16305923011733</v>
      </c>
      <c r="G62" s="79">
        <f t="shared" si="1"/>
        <v>90.605915467517605</v>
      </c>
    </row>
    <row r="63" spans="1:10" x14ac:dyDescent="0.25">
      <c r="A63" s="48" t="s">
        <v>48</v>
      </c>
      <c r="B63" s="320">
        <f>SUM(B64:B67)</f>
        <v>32925.64</v>
      </c>
      <c r="C63" s="320">
        <f>SUM(C64:C67)</f>
        <v>45221</v>
      </c>
      <c r="D63" s="320">
        <f>SUM(D64:D67)</f>
        <v>45073</v>
      </c>
      <c r="E63" s="320">
        <f>SUM(E64:E67)</f>
        <v>38536.28</v>
      </c>
      <c r="F63" s="70"/>
      <c r="G63" s="71"/>
    </row>
    <row r="64" spans="1:10" x14ac:dyDescent="0.25">
      <c r="A64" s="43" t="s">
        <v>49</v>
      </c>
      <c r="B64" s="321">
        <v>10546.58</v>
      </c>
      <c r="C64" s="321">
        <f>11150+5320+1+1100+200</f>
        <v>17771</v>
      </c>
      <c r="D64" s="321">
        <f>9607+5245+1100+200+1</f>
        <v>16153</v>
      </c>
      <c r="E64" s="321">
        <v>10760.07</v>
      </c>
      <c r="F64" s="72"/>
      <c r="G64" s="73"/>
    </row>
    <row r="65" spans="1:7" x14ac:dyDescent="0.25">
      <c r="A65" s="43" t="s">
        <v>50</v>
      </c>
      <c r="B65" s="321">
        <v>20406.060000000001</v>
      </c>
      <c r="C65" s="321">
        <f>3000+300+17500+4100</f>
        <v>24900</v>
      </c>
      <c r="D65" s="321">
        <f>3400+300+19000+4100</f>
        <v>26800</v>
      </c>
      <c r="E65" s="321">
        <v>25685.71</v>
      </c>
      <c r="F65" s="72"/>
      <c r="G65" s="73"/>
    </row>
    <row r="66" spans="1:7" x14ac:dyDescent="0.25">
      <c r="A66" s="43" t="s">
        <v>51</v>
      </c>
      <c r="B66" s="321">
        <v>785</v>
      </c>
      <c r="C66" s="321">
        <f>1200+50</f>
        <v>1250</v>
      </c>
      <c r="D66" s="321">
        <f>990+50</f>
        <v>1040</v>
      </c>
      <c r="E66" s="321">
        <v>1038</v>
      </c>
      <c r="F66" s="72"/>
      <c r="G66" s="73"/>
    </row>
    <row r="67" spans="1:7" x14ac:dyDescent="0.25">
      <c r="A67" s="43" t="s">
        <v>52</v>
      </c>
      <c r="B67" s="321">
        <v>1188</v>
      </c>
      <c r="C67" s="321">
        <v>1300</v>
      </c>
      <c r="D67" s="321">
        <v>1080</v>
      </c>
      <c r="E67" s="321">
        <v>1052.5</v>
      </c>
      <c r="F67" s="72"/>
      <c r="G67" s="73"/>
    </row>
    <row r="68" spans="1:7" x14ac:dyDescent="0.25">
      <c r="A68" s="42" t="s">
        <v>53</v>
      </c>
      <c r="B68" s="322">
        <f>SUM(B69:B74)</f>
        <v>189840.43000000002</v>
      </c>
      <c r="C68" s="322">
        <f>SUM(C69:C74)</f>
        <v>210622</v>
      </c>
      <c r="D68" s="322">
        <f>SUM(D69:D74)</f>
        <v>218148</v>
      </c>
      <c r="E68" s="322">
        <f>SUM(E69:E74)</f>
        <v>201154.01</v>
      </c>
      <c r="F68" s="74"/>
      <c r="G68" s="75"/>
    </row>
    <row r="69" spans="1:7" x14ac:dyDescent="0.25">
      <c r="A69" s="43" t="s">
        <v>54</v>
      </c>
      <c r="B69" s="321">
        <v>22388.47</v>
      </c>
      <c r="C69" s="321">
        <f>14350+3840+2500+250+100+308</f>
        <v>21348</v>
      </c>
      <c r="D69" s="321">
        <f>15418+4380+2750+250+233+100</f>
        <v>23131</v>
      </c>
      <c r="E69" s="321">
        <v>22666.94</v>
      </c>
      <c r="F69" s="72"/>
      <c r="G69" s="73"/>
    </row>
    <row r="70" spans="1:7" x14ac:dyDescent="0.25">
      <c r="A70" s="43" t="s">
        <v>55</v>
      </c>
      <c r="B70" s="321">
        <v>125187.6</v>
      </c>
      <c r="C70" s="321">
        <f>26500+6800+108900+1253</f>
        <v>143453</v>
      </c>
      <c r="D70" s="321">
        <f>26500+6800+108900+1253</f>
        <v>143453</v>
      </c>
      <c r="E70" s="321">
        <v>133750.51999999999</v>
      </c>
      <c r="F70" s="72"/>
      <c r="G70" s="73"/>
    </row>
    <row r="71" spans="1:7" x14ac:dyDescent="0.25">
      <c r="A71" s="43" t="s">
        <v>56</v>
      </c>
      <c r="B71" s="321">
        <v>34012.15</v>
      </c>
      <c r="C71" s="321">
        <f>20980+13000</f>
        <v>33980</v>
      </c>
      <c r="D71" s="321">
        <f>26208+12915</f>
        <v>39123</v>
      </c>
      <c r="E71" s="321">
        <v>34467.620000000003</v>
      </c>
      <c r="F71" s="72"/>
      <c r="G71" s="73"/>
    </row>
    <row r="72" spans="1:7" x14ac:dyDescent="0.25">
      <c r="A72" s="43" t="s">
        <v>57</v>
      </c>
      <c r="B72" s="321">
        <v>3906.95</v>
      </c>
      <c r="C72" s="321">
        <f>2950+500</f>
        <v>3450</v>
      </c>
      <c r="D72" s="321">
        <f>5350+500+2855</f>
        <v>8705</v>
      </c>
      <c r="E72" s="321">
        <v>7951.62</v>
      </c>
      <c r="F72" s="72"/>
      <c r="G72" s="73"/>
    </row>
    <row r="73" spans="1:7" x14ac:dyDescent="0.25">
      <c r="A73" s="43" t="s">
        <v>58</v>
      </c>
      <c r="B73" s="321">
        <v>2548.25</v>
      </c>
      <c r="C73" s="321">
        <f>1800+600+200+3391</f>
        <v>5991</v>
      </c>
      <c r="D73" s="321">
        <f>1800+36+200</f>
        <v>2036</v>
      </c>
      <c r="E73" s="321">
        <v>1327.42</v>
      </c>
      <c r="F73" s="72"/>
      <c r="G73" s="73"/>
    </row>
    <row r="74" spans="1:7" x14ac:dyDescent="0.25">
      <c r="A74" s="43" t="s">
        <v>59</v>
      </c>
      <c r="B74" s="321">
        <v>1797.01</v>
      </c>
      <c r="C74" s="321">
        <f>2000+400</f>
        <v>2400</v>
      </c>
      <c r="D74" s="321">
        <f>1300+400</f>
        <v>1700</v>
      </c>
      <c r="E74" s="321">
        <v>989.89</v>
      </c>
      <c r="F74" s="72"/>
      <c r="G74" s="73"/>
    </row>
    <row r="75" spans="1:7" x14ac:dyDescent="0.25">
      <c r="A75" s="42" t="s">
        <v>60</v>
      </c>
      <c r="B75" s="322">
        <f>SUM(B76:B84)</f>
        <v>56652.35</v>
      </c>
      <c r="C75" s="322">
        <f>SUM(C76:C84)</f>
        <v>57794</v>
      </c>
      <c r="D75" s="322">
        <f>SUM(D76:D84)</f>
        <v>55838</v>
      </c>
      <c r="E75" s="322">
        <f>SUM(E76:E84)</f>
        <v>50372.689999999995</v>
      </c>
      <c r="F75" s="74"/>
      <c r="G75" s="75"/>
    </row>
    <row r="76" spans="1:7" x14ac:dyDescent="0.25">
      <c r="A76" s="43" t="s">
        <v>61</v>
      </c>
      <c r="B76" s="321">
        <v>6442.51</v>
      </c>
      <c r="C76" s="321">
        <f>4200+1600+400+1200</f>
        <v>7400</v>
      </c>
      <c r="D76" s="321">
        <f>4080+750+325+1200</f>
        <v>6355</v>
      </c>
      <c r="E76" s="321">
        <v>4661.93</v>
      </c>
      <c r="F76" s="72"/>
      <c r="G76" s="73"/>
    </row>
    <row r="77" spans="1:7" x14ac:dyDescent="0.25">
      <c r="A77" s="43" t="s">
        <v>62</v>
      </c>
      <c r="B77" s="321">
        <v>27697.53</v>
      </c>
      <c r="C77" s="321">
        <f>15670+1380+11474</f>
        <v>28524</v>
      </c>
      <c r="D77" s="321">
        <f>13670+940+11974</f>
        <v>26584</v>
      </c>
      <c r="E77" s="321">
        <v>23507.3</v>
      </c>
      <c r="F77" s="72"/>
      <c r="G77" s="73"/>
    </row>
    <row r="78" spans="1:7" x14ac:dyDescent="0.25">
      <c r="A78" s="43" t="s">
        <v>63</v>
      </c>
      <c r="B78" s="321">
        <v>288.54000000000002</v>
      </c>
      <c r="C78" s="321">
        <v>290</v>
      </c>
      <c r="D78" s="321">
        <v>290</v>
      </c>
      <c r="E78" s="321">
        <v>288.54000000000002</v>
      </c>
      <c r="F78" s="72"/>
      <c r="G78" s="73"/>
    </row>
    <row r="79" spans="1:7" x14ac:dyDescent="0.25">
      <c r="A79" s="43" t="s">
        <v>64</v>
      </c>
      <c r="B79" s="321">
        <v>9066.06</v>
      </c>
      <c r="C79" s="321">
        <v>8240</v>
      </c>
      <c r="D79" s="321">
        <v>9115</v>
      </c>
      <c r="E79" s="321">
        <v>9308.2900000000009</v>
      </c>
      <c r="F79" s="72"/>
      <c r="G79" s="73"/>
    </row>
    <row r="80" spans="1:7" x14ac:dyDescent="0.25">
      <c r="A80" s="43" t="s">
        <v>65</v>
      </c>
      <c r="B80" s="321">
        <v>778.09</v>
      </c>
      <c r="C80" s="321">
        <v>790</v>
      </c>
      <c r="D80" s="321">
        <v>1020</v>
      </c>
      <c r="E80" s="321">
        <v>1020.36</v>
      </c>
      <c r="F80" s="72"/>
      <c r="G80" s="73"/>
    </row>
    <row r="81" spans="1:7" x14ac:dyDescent="0.25">
      <c r="A81" s="43" t="s">
        <v>66</v>
      </c>
      <c r="B81" s="321">
        <v>4165.3999999999996</v>
      </c>
      <c r="C81" s="321">
        <v>4110</v>
      </c>
      <c r="D81" s="321">
        <f>3714+100</f>
        <v>3814</v>
      </c>
      <c r="E81" s="321">
        <v>3652.78</v>
      </c>
      <c r="F81" s="72"/>
      <c r="G81" s="73"/>
    </row>
    <row r="82" spans="1:7" x14ac:dyDescent="0.25">
      <c r="A82" s="43" t="s">
        <v>67</v>
      </c>
      <c r="B82" s="321">
        <v>901.21</v>
      </c>
      <c r="C82" s="321">
        <f>390+50+70</f>
        <v>510</v>
      </c>
      <c r="D82" s="321">
        <f>130+70</f>
        <v>200</v>
      </c>
      <c r="E82" s="321">
        <v>125</v>
      </c>
      <c r="F82" s="72"/>
      <c r="G82" s="73"/>
    </row>
    <row r="83" spans="1:7" x14ac:dyDescent="0.25">
      <c r="A83" s="43" t="s">
        <v>68</v>
      </c>
      <c r="B83" s="321">
        <v>1661.11</v>
      </c>
      <c r="C83" s="321">
        <v>1380</v>
      </c>
      <c r="D83" s="321">
        <v>1470</v>
      </c>
      <c r="E83" s="321">
        <v>1560.78</v>
      </c>
      <c r="F83" s="72"/>
      <c r="G83" s="73"/>
    </row>
    <row r="84" spans="1:7" x14ac:dyDescent="0.25">
      <c r="A84" s="43" t="s">
        <v>69</v>
      </c>
      <c r="B84" s="321">
        <v>5651.9</v>
      </c>
      <c r="C84" s="321">
        <f>6270+280</f>
        <v>6550</v>
      </c>
      <c r="D84" s="321">
        <f>5800+760+355+75</f>
        <v>6990</v>
      </c>
      <c r="E84" s="321">
        <v>6247.71</v>
      </c>
      <c r="F84" s="72"/>
      <c r="G84" s="73"/>
    </row>
    <row r="85" spans="1:7" x14ac:dyDescent="0.25">
      <c r="A85" s="49" t="s">
        <v>237</v>
      </c>
      <c r="B85" s="322">
        <f>B86</f>
        <v>1694.57</v>
      </c>
      <c r="C85" s="322">
        <f>C86</f>
        <v>1310</v>
      </c>
      <c r="D85" s="322">
        <f>D86</f>
        <v>1076</v>
      </c>
      <c r="E85" s="322">
        <f>E86</f>
        <v>25.6</v>
      </c>
      <c r="F85" s="74"/>
      <c r="G85" s="75"/>
    </row>
    <row r="86" spans="1:7" x14ac:dyDescent="0.25">
      <c r="A86" s="44" t="s">
        <v>238</v>
      </c>
      <c r="B86" s="321">
        <v>1694.57</v>
      </c>
      <c r="C86" s="321">
        <f>60+250+1000</f>
        <v>1310</v>
      </c>
      <c r="D86" s="321">
        <f>26+50+1000</f>
        <v>1076</v>
      </c>
      <c r="E86" s="321">
        <v>25.6</v>
      </c>
      <c r="F86" s="72"/>
      <c r="G86" s="73"/>
    </row>
    <row r="87" spans="1:7" x14ac:dyDescent="0.25">
      <c r="A87" s="42" t="s">
        <v>70</v>
      </c>
      <c r="B87" s="322">
        <f>SUM(B88:B92)</f>
        <v>5085.16</v>
      </c>
      <c r="C87" s="322">
        <f>SUM(C88:C92)</f>
        <v>12330</v>
      </c>
      <c r="D87" s="322">
        <f>SUM(D88:D92)</f>
        <v>12045</v>
      </c>
      <c r="E87" s="322">
        <f>SUM(E88:E92)</f>
        <v>10886.15</v>
      </c>
      <c r="F87" s="74"/>
      <c r="G87" s="75"/>
    </row>
    <row r="88" spans="1:7" x14ac:dyDescent="0.25">
      <c r="A88" s="44" t="s">
        <v>239</v>
      </c>
      <c r="B88" s="321">
        <v>1428.51</v>
      </c>
      <c r="C88" s="321">
        <v>6850</v>
      </c>
      <c r="D88" s="321">
        <v>6850</v>
      </c>
      <c r="E88" s="321">
        <v>6842.74</v>
      </c>
      <c r="F88" s="72"/>
      <c r="G88" s="73"/>
    </row>
    <row r="89" spans="1:7" x14ac:dyDescent="0.25">
      <c r="A89" s="43" t="s">
        <v>71</v>
      </c>
      <c r="B89" s="321">
        <v>1355.55</v>
      </c>
      <c r="C89" s="321">
        <f>1000+1000</f>
        <v>2000</v>
      </c>
      <c r="D89" s="321">
        <f>1000+1000+75</f>
        <v>2075</v>
      </c>
      <c r="E89" s="321">
        <v>930.23</v>
      </c>
      <c r="F89" s="72"/>
      <c r="G89" s="73"/>
    </row>
    <row r="90" spans="1:7" x14ac:dyDescent="0.25">
      <c r="A90" s="43" t="s">
        <v>72</v>
      </c>
      <c r="B90" s="321">
        <v>188.09</v>
      </c>
      <c r="C90" s="321">
        <v>190</v>
      </c>
      <c r="D90" s="321">
        <v>220</v>
      </c>
      <c r="E90" s="321">
        <v>220</v>
      </c>
      <c r="F90" s="72"/>
      <c r="G90" s="73"/>
    </row>
    <row r="91" spans="1:7" x14ac:dyDescent="0.25">
      <c r="A91" s="43" t="s">
        <v>73</v>
      </c>
      <c r="B91" s="321">
        <v>172.9</v>
      </c>
      <c r="C91" s="321">
        <v>240</v>
      </c>
      <c r="D91" s="321">
        <v>0</v>
      </c>
      <c r="E91" s="321">
        <v>0</v>
      </c>
      <c r="F91" s="72"/>
      <c r="G91" s="73"/>
    </row>
    <row r="92" spans="1:7" x14ac:dyDescent="0.25">
      <c r="A92" s="50" t="s">
        <v>74</v>
      </c>
      <c r="B92" s="54">
        <v>1940.11</v>
      </c>
      <c r="C92" s="54">
        <f>3000+50</f>
        <v>3050</v>
      </c>
      <c r="D92" s="54">
        <f>2850+50</f>
        <v>2900</v>
      </c>
      <c r="E92" s="54">
        <v>2893.18</v>
      </c>
      <c r="F92" s="76"/>
      <c r="G92" s="77"/>
    </row>
    <row r="93" spans="1:7" x14ac:dyDescent="0.25">
      <c r="A93" s="51" t="s">
        <v>75</v>
      </c>
      <c r="B93" s="323">
        <f>B94</f>
        <v>2637.5</v>
      </c>
      <c r="C93" s="323">
        <f>C94</f>
        <v>3050</v>
      </c>
      <c r="D93" s="323">
        <f>D94</f>
        <v>3550</v>
      </c>
      <c r="E93" s="323">
        <f>E94</f>
        <v>2914.75</v>
      </c>
      <c r="F93" s="78">
        <f t="shared" ref="F93:F105" si="7">E93/B93*100</f>
        <v>110.51184834123222</v>
      </c>
      <c r="G93" s="79">
        <f t="shared" ref="G93:G105" si="8">E93/D93*100</f>
        <v>82.105633802816897</v>
      </c>
    </row>
    <row r="94" spans="1:7" x14ac:dyDescent="0.25">
      <c r="A94" s="48" t="s">
        <v>76</v>
      </c>
      <c r="B94" s="320">
        <f>SUM(B95:B95)</f>
        <v>2637.5</v>
      </c>
      <c r="C94" s="320">
        <f>SUM(C95:C95)</f>
        <v>3050</v>
      </c>
      <c r="D94" s="320">
        <f>SUM(D95:D95)</f>
        <v>3550</v>
      </c>
      <c r="E94" s="320">
        <f>SUM(E95:E95)</f>
        <v>2914.75</v>
      </c>
      <c r="F94" s="70"/>
      <c r="G94" s="71"/>
    </row>
    <row r="95" spans="1:7" x14ac:dyDescent="0.25">
      <c r="A95" s="43" t="s">
        <v>77</v>
      </c>
      <c r="B95" s="321">
        <v>2637.5</v>
      </c>
      <c r="C95" s="321">
        <f>2550+500</f>
        <v>3050</v>
      </c>
      <c r="D95" s="321">
        <f>3050+500</f>
        <v>3550</v>
      </c>
      <c r="E95" s="321">
        <v>2914.75</v>
      </c>
      <c r="F95" s="72"/>
      <c r="G95" s="73"/>
    </row>
    <row r="96" spans="1:7" x14ac:dyDescent="0.25">
      <c r="A96" s="60" t="s">
        <v>240</v>
      </c>
      <c r="B96" s="323">
        <f t="shared" ref="B96:E97" si="9">B97</f>
        <v>56438.43</v>
      </c>
      <c r="C96" s="323">
        <f t="shared" si="9"/>
        <v>65200</v>
      </c>
      <c r="D96" s="323">
        <f t="shared" si="9"/>
        <v>65850</v>
      </c>
      <c r="E96" s="323">
        <f t="shared" si="9"/>
        <v>58337.66</v>
      </c>
      <c r="F96" s="78">
        <f>E96/B96*100</f>
        <v>103.36513613153309</v>
      </c>
      <c r="G96" s="79">
        <f>E96/D96*100</f>
        <v>88.591738800303716</v>
      </c>
    </row>
    <row r="97" spans="1:10" x14ac:dyDescent="0.25">
      <c r="A97" s="55" t="s">
        <v>241</v>
      </c>
      <c r="B97" s="320">
        <f t="shared" si="9"/>
        <v>56438.43</v>
      </c>
      <c r="C97" s="320">
        <f t="shared" si="9"/>
        <v>65200</v>
      </c>
      <c r="D97" s="320">
        <f t="shared" si="9"/>
        <v>65850</v>
      </c>
      <c r="E97" s="320">
        <f t="shared" si="9"/>
        <v>58337.66</v>
      </c>
      <c r="F97" s="70"/>
      <c r="G97" s="71"/>
    </row>
    <row r="98" spans="1:10" x14ac:dyDescent="0.25">
      <c r="A98" s="58" t="s">
        <v>230</v>
      </c>
      <c r="B98" s="54">
        <v>56438.43</v>
      </c>
      <c r="C98" s="54">
        <f>35000+200+30000</f>
        <v>65200</v>
      </c>
      <c r="D98" s="54">
        <f>35650+200+30000</f>
        <v>65850</v>
      </c>
      <c r="E98" s="54">
        <v>58337.66</v>
      </c>
      <c r="F98" s="76"/>
      <c r="G98" s="77"/>
    </row>
    <row r="99" spans="1:10" x14ac:dyDescent="0.25">
      <c r="A99" s="51" t="s">
        <v>78</v>
      </c>
      <c r="B99" s="323">
        <f>B100+B102</f>
        <v>3235.76</v>
      </c>
      <c r="C99" s="323">
        <f>C100+C102</f>
        <v>2710</v>
      </c>
      <c r="D99" s="323">
        <f>D100+D102</f>
        <v>3535</v>
      </c>
      <c r="E99" s="323">
        <f>E100+E102</f>
        <v>3446.56</v>
      </c>
      <c r="F99" s="78">
        <f t="shared" si="7"/>
        <v>106.51469824708877</v>
      </c>
      <c r="G99" s="79">
        <f t="shared" si="8"/>
        <v>97.498161244695893</v>
      </c>
    </row>
    <row r="100" spans="1:10" s="102" customFormat="1" x14ac:dyDescent="0.25">
      <c r="A100" s="213" t="s">
        <v>341</v>
      </c>
      <c r="B100" s="320">
        <f>B101</f>
        <v>1063.9000000000001</v>
      </c>
      <c r="C100" s="320">
        <f>C101</f>
        <v>1110</v>
      </c>
      <c r="D100" s="320">
        <f>D101</f>
        <v>1110</v>
      </c>
      <c r="E100" s="320">
        <f>E101</f>
        <v>1021.52</v>
      </c>
      <c r="F100" s="70"/>
      <c r="G100" s="71"/>
      <c r="J100" s="252"/>
    </row>
    <row r="101" spans="1:10" s="102" customFormat="1" x14ac:dyDescent="0.25">
      <c r="A101" s="44" t="s">
        <v>342</v>
      </c>
      <c r="B101" s="321">
        <v>1063.9000000000001</v>
      </c>
      <c r="C101" s="321">
        <f>10+1100</f>
        <v>1110</v>
      </c>
      <c r="D101" s="321">
        <f>10+1100</f>
        <v>1110</v>
      </c>
      <c r="E101" s="321">
        <v>1021.52</v>
      </c>
      <c r="F101" s="72"/>
      <c r="G101" s="73"/>
      <c r="J101" s="252"/>
    </row>
    <row r="102" spans="1:10" x14ac:dyDescent="0.25">
      <c r="A102" s="42" t="s">
        <v>79</v>
      </c>
      <c r="B102" s="322">
        <f>B103</f>
        <v>2171.86</v>
      </c>
      <c r="C102" s="322">
        <f>C103</f>
        <v>1600</v>
      </c>
      <c r="D102" s="322">
        <f>D103</f>
        <v>2425</v>
      </c>
      <c r="E102" s="322">
        <f>E103</f>
        <v>2425.04</v>
      </c>
      <c r="F102" s="74"/>
      <c r="G102" s="75"/>
    </row>
    <row r="103" spans="1:10" s="41" customFormat="1" ht="13.8" thickBot="1" x14ac:dyDescent="0.3">
      <c r="A103" s="53" t="s">
        <v>231</v>
      </c>
      <c r="B103" s="54">
        <v>2171.86</v>
      </c>
      <c r="C103" s="54">
        <f>1600</f>
        <v>1600</v>
      </c>
      <c r="D103" s="54">
        <v>2425</v>
      </c>
      <c r="E103" s="54">
        <v>2425.04</v>
      </c>
      <c r="F103" s="88"/>
      <c r="G103" s="89"/>
      <c r="J103" s="261"/>
    </row>
    <row r="104" spans="1:10" ht="18" customHeight="1" thickBot="1" x14ac:dyDescent="0.3">
      <c r="A104" s="52" t="s">
        <v>13</v>
      </c>
      <c r="B104" s="328">
        <f>B105</f>
        <v>18093.47</v>
      </c>
      <c r="C104" s="328">
        <f>C105</f>
        <v>44708</v>
      </c>
      <c r="D104" s="328">
        <f>D105</f>
        <v>42780</v>
      </c>
      <c r="E104" s="328">
        <f>E105</f>
        <v>33301.39</v>
      </c>
      <c r="F104" s="66">
        <f t="shared" si="7"/>
        <v>184.05198118437204</v>
      </c>
      <c r="G104" s="67">
        <f t="shared" si="8"/>
        <v>77.843361383824217</v>
      </c>
    </row>
    <row r="105" spans="1:10" x14ac:dyDescent="0.25">
      <c r="A105" s="62" t="s">
        <v>242</v>
      </c>
      <c r="B105" s="319">
        <f>B106+B112</f>
        <v>18093.47</v>
      </c>
      <c r="C105" s="319">
        <f>C106+C112</f>
        <v>44708</v>
      </c>
      <c r="D105" s="319">
        <f>D106+D112</f>
        <v>42780</v>
      </c>
      <c r="E105" s="319">
        <f>E106+E112</f>
        <v>33301.39</v>
      </c>
      <c r="F105" s="68">
        <f t="shared" si="7"/>
        <v>184.05198118437204</v>
      </c>
      <c r="G105" s="69">
        <f t="shared" si="8"/>
        <v>77.843361383824217</v>
      </c>
    </row>
    <row r="106" spans="1:10" x14ac:dyDescent="0.25">
      <c r="A106" s="48" t="s">
        <v>80</v>
      </c>
      <c r="B106" s="320">
        <f>SUM(B107:B111)</f>
        <v>14383.68</v>
      </c>
      <c r="C106" s="320">
        <f>SUM(C107:C111)</f>
        <v>33408</v>
      </c>
      <c r="D106" s="320">
        <f>SUM(D107:D111)</f>
        <v>31480</v>
      </c>
      <c r="E106" s="320">
        <f>SUM(E107:E111)</f>
        <v>28248</v>
      </c>
      <c r="F106" s="70"/>
      <c r="G106" s="71"/>
    </row>
    <row r="107" spans="1:10" x14ac:dyDescent="0.25">
      <c r="A107" s="43" t="s">
        <v>81</v>
      </c>
      <c r="B107" s="321">
        <v>9248.18</v>
      </c>
      <c r="C107" s="321">
        <f>9500+8000+1486</f>
        <v>18986</v>
      </c>
      <c r="D107" s="321">
        <f>6422+8000+1486</f>
        <v>15908</v>
      </c>
      <c r="E107" s="321">
        <v>13754.75</v>
      </c>
      <c r="F107" s="72"/>
      <c r="G107" s="73"/>
    </row>
    <row r="108" spans="1:10" x14ac:dyDescent="0.25">
      <c r="A108" s="43" t="s">
        <v>82</v>
      </c>
      <c r="B108" s="321">
        <v>0</v>
      </c>
      <c r="C108" s="321">
        <v>0</v>
      </c>
      <c r="D108" s="321">
        <v>0</v>
      </c>
      <c r="E108" s="321">
        <v>0</v>
      </c>
      <c r="F108" s="72"/>
      <c r="G108" s="73"/>
    </row>
    <row r="109" spans="1:10" x14ac:dyDescent="0.25">
      <c r="A109" s="43" t="s">
        <v>83</v>
      </c>
      <c r="B109" s="321">
        <v>0</v>
      </c>
      <c r="C109" s="321">
        <v>0</v>
      </c>
      <c r="D109" s="321">
        <v>0</v>
      </c>
      <c r="E109" s="321">
        <v>0</v>
      </c>
      <c r="F109" s="72"/>
      <c r="G109" s="73"/>
    </row>
    <row r="110" spans="1:10" x14ac:dyDescent="0.25">
      <c r="A110" s="43" t="s">
        <v>84</v>
      </c>
      <c r="B110" s="321">
        <v>0</v>
      </c>
      <c r="C110" s="321">
        <f>5934+1000</f>
        <v>6934</v>
      </c>
      <c r="D110" s="321">
        <f>5934+1000</f>
        <v>6934</v>
      </c>
      <c r="E110" s="321">
        <v>6625</v>
      </c>
      <c r="F110" s="72"/>
      <c r="G110" s="73"/>
    </row>
    <row r="111" spans="1:10" x14ac:dyDescent="0.25">
      <c r="A111" s="43" t="s">
        <v>85</v>
      </c>
      <c r="B111" s="321">
        <v>5135.5</v>
      </c>
      <c r="C111" s="321">
        <f>1000+6488</f>
        <v>7488</v>
      </c>
      <c r="D111" s="321">
        <f>6488+2150</f>
        <v>8638</v>
      </c>
      <c r="E111" s="321">
        <v>7868.25</v>
      </c>
      <c r="F111" s="72"/>
      <c r="G111" s="73"/>
    </row>
    <row r="112" spans="1:10" x14ac:dyDescent="0.25">
      <c r="A112" s="42" t="s">
        <v>86</v>
      </c>
      <c r="B112" s="322">
        <f>B113</f>
        <v>3709.79</v>
      </c>
      <c r="C112" s="322">
        <f>C113</f>
        <v>11300</v>
      </c>
      <c r="D112" s="322">
        <f>D113</f>
        <v>11300</v>
      </c>
      <c r="E112" s="322">
        <f>E113</f>
        <v>5053.3900000000003</v>
      </c>
      <c r="F112" s="74"/>
      <c r="G112" s="75"/>
    </row>
    <row r="113" spans="1:7" ht="13.8" thickBot="1" x14ac:dyDescent="0.3">
      <c r="A113" s="46" t="s">
        <v>87</v>
      </c>
      <c r="B113" s="329">
        <v>3709.79</v>
      </c>
      <c r="C113" s="329">
        <f>1300+10000</f>
        <v>11300</v>
      </c>
      <c r="D113" s="329">
        <f>1300+10000</f>
        <v>11300</v>
      </c>
      <c r="E113" s="329">
        <v>5053.3900000000003</v>
      </c>
      <c r="F113" s="90"/>
      <c r="G113" s="91"/>
    </row>
    <row r="114" spans="1:7" ht="13.8" thickTop="1" x14ac:dyDescent="0.25">
      <c r="A114" s="7" t="s">
        <v>0</v>
      </c>
      <c r="B114" s="6" t="s">
        <v>0</v>
      </c>
      <c r="C114" s="378" t="s">
        <v>0</v>
      </c>
      <c r="D114" s="6" t="s">
        <v>0</v>
      </c>
      <c r="E114" s="378" t="s">
        <v>0</v>
      </c>
      <c r="F114" s="7" t="s">
        <v>0</v>
      </c>
      <c r="G114" s="7" t="s">
        <v>0</v>
      </c>
    </row>
  </sheetData>
  <mergeCells count="6">
    <mergeCell ref="A5:G5"/>
    <mergeCell ref="A8:G8"/>
    <mergeCell ref="A10:G10"/>
    <mergeCell ref="A7:G7"/>
    <mergeCell ref="A6:G6"/>
    <mergeCell ref="A9:F9"/>
  </mergeCells>
  <pageMargins left="0.35433070866141736" right="0.35433070866141736" top="0.59055118110236227" bottom="0.39370078740157483" header="0.51181102362204722" footer="0.51181102362204722"/>
  <pageSetup scale="8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55"/>
  <sheetViews>
    <sheetView topLeftCell="A10" zoomScaleNormal="100" workbookViewId="0">
      <selection activeCell="M27" activeCellId="5" sqref="M15:N15 M16:N16 M18:N18 M21:N21 M24:N24 M27:N27"/>
    </sheetView>
  </sheetViews>
  <sheetFormatPr defaultRowHeight="13.2" x14ac:dyDescent="0.25"/>
  <cols>
    <col min="2" max="2" width="8.88671875" customWidth="1"/>
    <col min="9" max="9" width="5.33203125" customWidth="1"/>
    <col min="10" max="12" width="8.88671875" hidden="1" customWidth="1"/>
    <col min="13" max="14" width="10.109375" style="41" customWidth="1"/>
    <col min="15" max="16" width="9.109375" style="93"/>
    <col min="17" max="18" width="8.6640625" style="93" customWidth="1"/>
    <col min="19" max="20" width="9.33203125" style="93" customWidth="1"/>
    <col min="21" max="24" width="5" customWidth="1"/>
    <col min="26" max="26" width="16" style="252" customWidth="1"/>
  </cols>
  <sheetData>
    <row r="1" spans="1:26" s="9" customFormat="1" x14ac:dyDescent="0.25">
      <c r="A1" s="9" t="s">
        <v>221</v>
      </c>
      <c r="M1" s="41"/>
      <c r="N1" s="41"/>
      <c r="O1" s="93"/>
      <c r="P1" s="93"/>
      <c r="Q1" s="93"/>
      <c r="R1" s="93"/>
      <c r="S1" s="93"/>
      <c r="T1" s="93"/>
      <c r="Z1" s="252"/>
    </row>
    <row r="2" spans="1:26" s="9" customFormat="1" x14ac:dyDescent="0.25">
      <c r="A2" s="9" t="s">
        <v>222</v>
      </c>
      <c r="M2" s="41"/>
      <c r="N2" s="41"/>
      <c r="O2" s="93"/>
      <c r="P2" s="93"/>
      <c r="Q2" s="93"/>
      <c r="R2" s="93"/>
      <c r="S2" s="93"/>
      <c r="T2" s="93"/>
      <c r="Z2" s="252"/>
    </row>
    <row r="3" spans="1:26" s="9" customFormat="1" x14ac:dyDescent="0.25">
      <c r="A3" s="9" t="s">
        <v>223</v>
      </c>
      <c r="M3" s="41"/>
      <c r="N3" s="41"/>
      <c r="O3" s="93"/>
      <c r="P3" s="93"/>
      <c r="Q3" s="93"/>
      <c r="R3" s="93"/>
      <c r="S3" s="93"/>
      <c r="T3" s="93"/>
      <c r="Z3" s="252"/>
    </row>
    <row r="4" spans="1:26" s="9" customFormat="1" x14ac:dyDescent="0.25">
      <c r="A4" s="9" t="s">
        <v>224</v>
      </c>
      <c r="M4" s="41"/>
      <c r="N4" s="41"/>
      <c r="O4" s="93"/>
      <c r="P4" s="93"/>
      <c r="Q4" s="93"/>
      <c r="R4" s="93"/>
      <c r="S4" s="93"/>
      <c r="T4" s="93"/>
      <c r="Z4" s="252"/>
    </row>
    <row r="5" spans="1:26" x14ac:dyDescent="0.25">
      <c r="A5" s="390"/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</row>
    <row r="6" spans="1:26" s="1" customFormat="1" ht="24" customHeight="1" x14ac:dyDescent="0.3">
      <c r="A6" s="385" t="s">
        <v>358</v>
      </c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  <c r="U6" s="385"/>
      <c r="V6" s="385"/>
      <c r="W6" s="385"/>
      <c r="X6" s="385"/>
      <c r="Z6" s="253"/>
    </row>
    <row r="7" spans="1:26" s="3" customFormat="1" ht="24" customHeight="1" x14ac:dyDescent="0.3">
      <c r="A7" s="392" t="s">
        <v>247</v>
      </c>
      <c r="B7" s="411"/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Z7" s="264"/>
    </row>
    <row r="8" spans="1:26" s="9" customFormat="1" ht="24" customHeight="1" x14ac:dyDescent="0.25">
      <c r="A8" s="386" t="s">
        <v>372</v>
      </c>
      <c r="B8" s="387"/>
      <c r="C8" s="387"/>
      <c r="D8" s="387"/>
      <c r="E8" s="387"/>
      <c r="F8" s="387"/>
      <c r="G8" s="387"/>
      <c r="H8" s="387"/>
      <c r="I8" s="387"/>
      <c r="J8" s="387"/>
      <c r="K8" s="387"/>
      <c r="L8" s="387"/>
      <c r="M8" s="387"/>
      <c r="N8" s="387"/>
      <c r="O8" s="387"/>
      <c r="P8" s="387"/>
      <c r="Q8" s="387"/>
      <c r="R8" s="387"/>
      <c r="S8" s="387"/>
      <c r="T8" s="387"/>
      <c r="U8" s="387"/>
      <c r="V8" s="387"/>
      <c r="W8" s="387"/>
      <c r="X8" s="387"/>
      <c r="Z8" s="252"/>
    </row>
    <row r="9" spans="1:26" s="9" customFormat="1" x14ac:dyDescent="0.25">
      <c r="A9" s="388" t="s">
        <v>225</v>
      </c>
      <c r="B9" s="388"/>
      <c r="C9" s="388"/>
      <c r="D9" s="388"/>
      <c r="E9" s="388"/>
      <c r="F9" s="388"/>
      <c r="G9" s="388"/>
      <c r="H9" s="388"/>
      <c r="I9" s="388"/>
      <c r="J9" s="388"/>
      <c r="K9" s="388"/>
      <c r="L9" s="388"/>
      <c r="M9" s="388"/>
      <c r="N9" s="388"/>
      <c r="O9" s="388"/>
      <c r="P9" s="388"/>
      <c r="Q9" s="388"/>
      <c r="R9" s="388"/>
      <c r="S9" s="388"/>
      <c r="T9" s="388"/>
      <c r="U9" s="388"/>
      <c r="V9" s="388"/>
      <c r="W9" s="388"/>
      <c r="X9" s="388"/>
      <c r="Z9" s="252"/>
    </row>
    <row r="10" spans="1:26" ht="13.8" thickBot="1" x14ac:dyDescent="0.3">
      <c r="A10" s="391" t="s">
        <v>0</v>
      </c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</row>
    <row r="11" spans="1:26" s="10" customFormat="1" ht="30.75" customHeight="1" thickTop="1" x14ac:dyDescent="0.25">
      <c r="A11" s="425" t="s">
        <v>1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6"/>
      <c r="L11" s="426"/>
      <c r="M11" s="414" t="s">
        <v>373</v>
      </c>
      <c r="N11" s="415"/>
      <c r="O11" s="412" t="s">
        <v>359</v>
      </c>
      <c r="P11" s="413"/>
      <c r="Q11" s="414" t="s">
        <v>360</v>
      </c>
      <c r="R11" s="415"/>
      <c r="S11" s="414" t="s">
        <v>374</v>
      </c>
      <c r="T11" s="415"/>
      <c r="U11" s="416" t="s">
        <v>2</v>
      </c>
      <c r="V11" s="417"/>
      <c r="W11" s="416" t="s">
        <v>3</v>
      </c>
      <c r="X11" s="418"/>
      <c r="Z11" s="251"/>
    </row>
    <row r="12" spans="1:26" s="10" customFormat="1" ht="13.8" thickBot="1" x14ac:dyDescent="0.3">
      <c r="A12" s="419" t="s">
        <v>88</v>
      </c>
      <c r="B12" s="420"/>
      <c r="C12" s="420"/>
      <c r="D12" s="420"/>
      <c r="E12" s="420"/>
      <c r="F12" s="420"/>
      <c r="G12" s="420"/>
      <c r="H12" s="420"/>
      <c r="I12" s="420"/>
      <c r="J12" s="420"/>
      <c r="K12" s="420"/>
      <c r="L12" s="420"/>
      <c r="M12" s="421" t="s">
        <v>4</v>
      </c>
      <c r="N12" s="422"/>
      <c r="O12" s="421" t="s">
        <v>5</v>
      </c>
      <c r="P12" s="422"/>
      <c r="Q12" s="421" t="s">
        <v>6</v>
      </c>
      <c r="R12" s="422"/>
      <c r="S12" s="421" t="s">
        <v>7</v>
      </c>
      <c r="T12" s="422"/>
      <c r="U12" s="423" t="s">
        <v>8</v>
      </c>
      <c r="V12" s="420"/>
      <c r="W12" s="423" t="s">
        <v>9</v>
      </c>
      <c r="X12" s="424"/>
      <c r="Z12" s="251"/>
    </row>
    <row r="13" spans="1:26" s="103" customFormat="1" ht="13.5" customHeight="1" thickTop="1" thickBot="1" x14ac:dyDescent="0.3">
      <c r="A13" s="430" t="s">
        <v>252</v>
      </c>
      <c r="B13" s="431"/>
      <c r="C13" s="431"/>
      <c r="D13" s="431"/>
      <c r="E13" s="431"/>
      <c r="F13" s="431"/>
      <c r="G13" s="431"/>
      <c r="H13" s="431"/>
      <c r="I13" s="431"/>
      <c r="J13" s="431"/>
      <c r="K13" s="431"/>
      <c r="L13" s="431"/>
      <c r="M13" s="432"/>
      <c r="N13" s="431"/>
      <c r="O13" s="432"/>
      <c r="P13" s="431"/>
      <c r="Q13" s="432"/>
      <c r="R13" s="431"/>
      <c r="S13" s="432"/>
      <c r="T13" s="431"/>
      <c r="U13" s="433">
        <v>120.41</v>
      </c>
      <c r="V13" s="431"/>
      <c r="W13" s="433">
        <v>42.31</v>
      </c>
      <c r="X13" s="434"/>
      <c r="Z13" s="250"/>
    </row>
    <row r="14" spans="1:26" s="99" customFormat="1" x14ac:dyDescent="0.25">
      <c r="A14" s="435" t="s">
        <v>89</v>
      </c>
      <c r="B14" s="436"/>
      <c r="C14" s="436"/>
      <c r="D14" s="436"/>
      <c r="E14" s="436"/>
      <c r="F14" s="436"/>
      <c r="G14" s="436"/>
      <c r="H14" s="436"/>
      <c r="I14" s="436"/>
      <c r="J14" s="436"/>
      <c r="K14" s="436"/>
      <c r="L14" s="436"/>
      <c r="M14" s="437">
        <f>SUM(M15:N16)</f>
        <v>230365.09999999998</v>
      </c>
      <c r="N14" s="436"/>
      <c r="O14" s="437">
        <f>SUM(O15:P16)</f>
        <v>258260</v>
      </c>
      <c r="P14" s="436"/>
      <c r="Q14" s="437">
        <f>SUM(Q15:R16)</f>
        <v>269680</v>
      </c>
      <c r="R14" s="436"/>
      <c r="S14" s="437">
        <f>SUM(S15:T16)</f>
        <v>241720.91999999998</v>
      </c>
      <c r="T14" s="436"/>
      <c r="U14" s="427">
        <f t="shared" ref="U14:U21" si="0">S14/M14*100</f>
        <v>104.9294880170651</v>
      </c>
      <c r="V14" s="428"/>
      <c r="W14" s="427">
        <f>S14/Q14*100</f>
        <v>89.632497775140905</v>
      </c>
      <c r="X14" s="429"/>
      <c r="Z14" s="265"/>
    </row>
    <row r="15" spans="1:26" s="14" customFormat="1" x14ac:dyDescent="0.25">
      <c r="A15" s="403" t="s">
        <v>250</v>
      </c>
      <c r="B15" s="404"/>
      <c r="C15" s="404"/>
      <c r="D15" s="404"/>
      <c r="E15" s="404"/>
      <c r="F15" s="404"/>
      <c r="G15" s="404"/>
      <c r="H15" s="404"/>
      <c r="I15" s="404"/>
      <c r="J15" s="404"/>
      <c r="K15" s="404"/>
      <c r="L15" s="404"/>
      <c r="M15" s="402">
        <v>112504.2</v>
      </c>
      <c r="N15" s="402"/>
      <c r="O15" s="402">
        <v>135500</v>
      </c>
      <c r="P15" s="402"/>
      <c r="Q15" s="402">
        <v>146920</v>
      </c>
      <c r="R15" s="402"/>
      <c r="S15" s="402">
        <v>137637.65</v>
      </c>
      <c r="T15" s="402"/>
      <c r="U15" s="400">
        <f t="shared" si="0"/>
        <v>122.34001041738887</v>
      </c>
      <c r="V15" s="400"/>
      <c r="W15" s="400">
        <f t="shared" ref="W15:W52" si="1">S15/Q15*100</f>
        <v>93.682037843724473</v>
      </c>
      <c r="X15" s="401"/>
      <c r="Z15" s="254"/>
    </row>
    <row r="16" spans="1:26" s="14" customFormat="1" x14ac:dyDescent="0.25">
      <c r="A16" s="405" t="s">
        <v>91</v>
      </c>
      <c r="B16" s="406"/>
      <c r="C16" s="406"/>
      <c r="D16" s="406"/>
      <c r="E16" s="406"/>
      <c r="F16" s="406"/>
      <c r="G16" s="406"/>
      <c r="H16" s="406"/>
      <c r="I16" s="406"/>
      <c r="J16" s="406"/>
      <c r="K16" s="406"/>
      <c r="L16" s="406"/>
      <c r="M16" s="407">
        <v>117860.9</v>
      </c>
      <c r="N16" s="406"/>
      <c r="O16" s="407">
        <f>110960+10500+1300</f>
        <v>122760</v>
      </c>
      <c r="P16" s="406"/>
      <c r="Q16" s="407">
        <f>110960+11800</f>
        <v>122760</v>
      </c>
      <c r="R16" s="406"/>
      <c r="S16" s="407">
        <v>104083.27</v>
      </c>
      <c r="T16" s="406"/>
      <c r="U16" s="408">
        <f t="shared" si="0"/>
        <v>88.310262351636553</v>
      </c>
      <c r="V16" s="409"/>
      <c r="W16" s="408">
        <f t="shared" si="1"/>
        <v>84.78598077549691</v>
      </c>
      <c r="X16" s="410"/>
      <c r="Z16" s="254"/>
    </row>
    <row r="17" spans="1:26" s="99" customFormat="1" x14ac:dyDescent="0.25">
      <c r="A17" s="397" t="s">
        <v>92</v>
      </c>
      <c r="B17" s="398"/>
      <c r="C17" s="398"/>
      <c r="D17" s="398"/>
      <c r="E17" s="398"/>
      <c r="F17" s="398"/>
      <c r="G17" s="398"/>
      <c r="H17" s="398"/>
      <c r="I17" s="398"/>
      <c r="J17" s="398"/>
      <c r="K17" s="398"/>
      <c r="L17" s="398"/>
      <c r="M17" s="399">
        <f>SUM(M18:N19)</f>
        <v>19586.599999999999</v>
      </c>
      <c r="N17" s="398"/>
      <c r="O17" s="399">
        <f>SUM(O18:P19)</f>
        <v>28634</v>
      </c>
      <c r="P17" s="398"/>
      <c r="Q17" s="399">
        <f>SUM(Q18:R19)</f>
        <v>28634</v>
      </c>
      <c r="R17" s="398"/>
      <c r="S17" s="399">
        <f>SUM(S18:T19)</f>
        <v>19667.310000000001</v>
      </c>
      <c r="T17" s="398"/>
      <c r="U17" s="394">
        <f t="shared" si="0"/>
        <v>100.41206743385787</v>
      </c>
      <c r="V17" s="395"/>
      <c r="W17" s="394">
        <f t="shared" si="1"/>
        <v>68.685164489767416</v>
      </c>
      <c r="X17" s="396"/>
      <c r="Z17" s="265"/>
    </row>
    <row r="18" spans="1:26" s="14" customFormat="1" x14ac:dyDescent="0.25">
      <c r="A18" s="443" t="s">
        <v>93</v>
      </c>
      <c r="B18" s="439"/>
      <c r="C18" s="439"/>
      <c r="D18" s="439"/>
      <c r="E18" s="439"/>
      <c r="F18" s="439"/>
      <c r="G18" s="439"/>
      <c r="H18" s="439"/>
      <c r="I18" s="439"/>
      <c r="J18" s="439"/>
      <c r="K18" s="439"/>
      <c r="L18" s="439"/>
      <c r="M18" s="438">
        <v>15586.6</v>
      </c>
      <c r="N18" s="439"/>
      <c r="O18" s="438">
        <v>22700</v>
      </c>
      <c r="P18" s="439"/>
      <c r="Q18" s="438">
        <v>22700</v>
      </c>
      <c r="R18" s="439"/>
      <c r="S18" s="438">
        <v>13734</v>
      </c>
      <c r="T18" s="439"/>
      <c r="U18" s="440">
        <f t="shared" si="0"/>
        <v>88.11414933340177</v>
      </c>
      <c r="V18" s="441"/>
      <c r="W18" s="440">
        <f t="shared" si="1"/>
        <v>60.502202643171813</v>
      </c>
      <c r="X18" s="442"/>
      <c r="Z18" s="254"/>
    </row>
    <row r="19" spans="1:26" s="98" customFormat="1" x14ac:dyDescent="0.25">
      <c r="A19" s="443" t="s">
        <v>251</v>
      </c>
      <c r="B19" s="439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8">
        <v>4000</v>
      </c>
      <c r="N19" s="439"/>
      <c r="O19" s="438">
        <v>5934</v>
      </c>
      <c r="P19" s="439"/>
      <c r="Q19" s="438">
        <v>5934</v>
      </c>
      <c r="R19" s="439"/>
      <c r="S19" s="438">
        <v>5933.31</v>
      </c>
      <c r="T19" s="439"/>
      <c r="U19" s="440">
        <f t="shared" si="0"/>
        <v>148.33275</v>
      </c>
      <c r="V19" s="441"/>
      <c r="W19" s="440">
        <f t="shared" si="1"/>
        <v>99.988372093023258</v>
      </c>
      <c r="X19" s="442"/>
      <c r="Z19" s="255"/>
    </row>
    <row r="20" spans="1:26" s="99" customFormat="1" x14ac:dyDescent="0.25">
      <c r="A20" s="397" t="s">
        <v>94</v>
      </c>
      <c r="B20" s="398"/>
      <c r="C20" s="398"/>
      <c r="D20" s="398"/>
      <c r="E20" s="398"/>
      <c r="F20" s="398"/>
      <c r="G20" s="398"/>
      <c r="H20" s="398"/>
      <c r="I20" s="398"/>
      <c r="J20" s="398"/>
      <c r="K20" s="398"/>
      <c r="L20" s="398"/>
      <c r="M20" s="399">
        <f>SUM(M21:N22)</f>
        <v>52481.97</v>
      </c>
      <c r="N20" s="398"/>
      <c r="O20" s="399">
        <f>SUM(O21:P22)</f>
        <v>86483</v>
      </c>
      <c r="P20" s="398"/>
      <c r="Q20" s="399">
        <f>SUM(Q21:R22)</f>
        <v>86483</v>
      </c>
      <c r="R20" s="398"/>
      <c r="S20" s="399">
        <f>SUM(S21:T22)</f>
        <v>76083.47</v>
      </c>
      <c r="T20" s="398"/>
      <c r="U20" s="394">
        <f t="shared" si="0"/>
        <v>144.97068231242082</v>
      </c>
      <c r="V20" s="395"/>
      <c r="W20" s="394">
        <f t="shared" si="1"/>
        <v>87.975058682053117</v>
      </c>
      <c r="X20" s="396"/>
      <c r="Z20" s="265"/>
    </row>
    <row r="21" spans="1:26" s="14" customFormat="1" x14ac:dyDescent="0.25">
      <c r="A21" s="443" t="s">
        <v>95</v>
      </c>
      <c r="B21" s="439"/>
      <c r="C21" s="439"/>
      <c r="D21" s="439"/>
      <c r="E21" s="439"/>
      <c r="F21" s="439"/>
      <c r="G21" s="439"/>
      <c r="H21" s="439"/>
      <c r="I21" s="439"/>
      <c r="J21" s="439"/>
      <c r="K21" s="439"/>
      <c r="L21" s="439"/>
      <c r="M21" s="438">
        <v>36445.51</v>
      </c>
      <c r="N21" s="439"/>
      <c r="O21" s="438">
        <v>56130</v>
      </c>
      <c r="P21" s="439"/>
      <c r="Q21" s="438">
        <v>56130</v>
      </c>
      <c r="R21" s="439"/>
      <c r="S21" s="438">
        <v>51114.23</v>
      </c>
      <c r="T21" s="439"/>
      <c r="U21" s="440">
        <f t="shared" si="0"/>
        <v>140.24835981167502</v>
      </c>
      <c r="V21" s="441"/>
      <c r="W21" s="440">
        <f t="shared" si="1"/>
        <v>91.064012114733657</v>
      </c>
      <c r="X21" s="442"/>
      <c r="Z21" s="254"/>
    </row>
    <row r="22" spans="1:26" s="98" customFormat="1" x14ac:dyDescent="0.25">
      <c r="A22" s="443" t="s">
        <v>254</v>
      </c>
      <c r="B22" s="439"/>
      <c r="C22" s="439"/>
      <c r="D22" s="439"/>
      <c r="E22" s="439"/>
      <c r="F22" s="439"/>
      <c r="G22" s="439"/>
      <c r="H22" s="439"/>
      <c r="I22" s="439"/>
      <c r="J22" s="439"/>
      <c r="K22" s="439"/>
      <c r="L22" s="439"/>
      <c r="M22" s="438">
        <v>16036.46</v>
      </c>
      <c r="N22" s="439"/>
      <c r="O22" s="438">
        <v>30353</v>
      </c>
      <c r="P22" s="439"/>
      <c r="Q22" s="438">
        <v>30353</v>
      </c>
      <c r="R22" s="439"/>
      <c r="S22" s="438">
        <v>24969.24</v>
      </c>
      <c r="T22" s="439"/>
      <c r="U22" s="440"/>
      <c r="V22" s="441"/>
      <c r="W22" s="440">
        <f>S22/Q22*100</f>
        <v>82.262840575890365</v>
      </c>
      <c r="X22" s="442"/>
      <c r="Z22" s="254"/>
    </row>
    <row r="23" spans="1:26" s="99" customFormat="1" x14ac:dyDescent="0.25">
      <c r="A23" s="397" t="s">
        <v>96</v>
      </c>
      <c r="B23" s="398"/>
      <c r="C23" s="398"/>
      <c r="D23" s="398"/>
      <c r="E23" s="398"/>
      <c r="F23" s="398"/>
      <c r="G23" s="398"/>
      <c r="H23" s="398"/>
      <c r="I23" s="398"/>
      <c r="J23" s="398"/>
      <c r="K23" s="398"/>
      <c r="L23" s="398"/>
      <c r="M23" s="399">
        <f>SUM(M24:N25)</f>
        <v>1843886.29</v>
      </c>
      <c r="N23" s="398"/>
      <c r="O23" s="399">
        <f>SUM(O24:P25)</f>
        <v>2156305</v>
      </c>
      <c r="P23" s="398"/>
      <c r="Q23" s="399">
        <f>SUM(Q24:R25)</f>
        <v>2224205</v>
      </c>
      <c r="R23" s="398"/>
      <c r="S23" s="399">
        <f>SUM(S24:T25)</f>
        <v>2024557.3</v>
      </c>
      <c r="T23" s="398"/>
      <c r="U23" s="394">
        <f>S23/M23*100</f>
        <v>109.79838133077067</v>
      </c>
      <c r="V23" s="395"/>
      <c r="W23" s="394">
        <f t="shared" si="1"/>
        <v>91.023862458721212</v>
      </c>
      <c r="X23" s="396"/>
      <c r="Z23" s="265"/>
    </row>
    <row r="24" spans="1:26" s="14" customFormat="1" x14ac:dyDescent="0.25">
      <c r="A24" s="443" t="s">
        <v>97</v>
      </c>
      <c r="B24" s="439"/>
      <c r="C24" s="439"/>
      <c r="D24" s="439"/>
      <c r="E24" s="439"/>
      <c r="F24" s="439"/>
      <c r="G24" s="439"/>
      <c r="H24" s="439"/>
      <c r="I24" s="439"/>
      <c r="J24" s="439"/>
      <c r="K24" s="439"/>
      <c r="L24" s="439"/>
      <c r="M24" s="438">
        <v>1842994.62</v>
      </c>
      <c r="N24" s="439"/>
      <c r="O24" s="438">
        <v>2133022</v>
      </c>
      <c r="P24" s="439"/>
      <c r="Q24" s="438">
        <v>2200922</v>
      </c>
      <c r="R24" s="439"/>
      <c r="S24" s="438">
        <v>2002528.27</v>
      </c>
      <c r="T24" s="439"/>
      <c r="U24" s="440">
        <f>S24/M24*100</f>
        <v>108.65621897474665</v>
      </c>
      <c r="V24" s="441"/>
      <c r="W24" s="440">
        <f t="shared" si="1"/>
        <v>90.985880917179259</v>
      </c>
      <c r="X24" s="442"/>
      <c r="Z24" s="254"/>
    </row>
    <row r="25" spans="1:26" s="98" customFormat="1" x14ac:dyDescent="0.25">
      <c r="A25" s="443" t="s">
        <v>104</v>
      </c>
      <c r="B25" s="439"/>
      <c r="C25" s="439"/>
      <c r="D25" s="439"/>
      <c r="E25" s="439"/>
      <c r="F25" s="439"/>
      <c r="G25" s="439"/>
      <c r="H25" s="439"/>
      <c r="I25" s="439"/>
      <c r="J25" s="439"/>
      <c r="K25" s="439"/>
      <c r="L25" s="439"/>
      <c r="M25" s="438">
        <v>891.67</v>
      </c>
      <c r="N25" s="439"/>
      <c r="O25" s="438">
        <v>23283</v>
      </c>
      <c r="P25" s="439"/>
      <c r="Q25" s="438">
        <f>23283</f>
        <v>23283</v>
      </c>
      <c r="R25" s="439"/>
      <c r="S25" s="438">
        <v>22029.03</v>
      </c>
      <c r="T25" s="439"/>
      <c r="U25" s="440"/>
      <c r="V25" s="441"/>
      <c r="W25" s="440">
        <f>S25/Q25*100</f>
        <v>94.614224971008881</v>
      </c>
      <c r="X25" s="442"/>
      <c r="Z25" s="254"/>
    </row>
    <row r="26" spans="1:26" s="99" customFormat="1" x14ac:dyDescent="0.25">
      <c r="A26" s="397" t="s">
        <v>98</v>
      </c>
      <c r="B26" s="398"/>
      <c r="C26" s="398"/>
      <c r="D26" s="398"/>
      <c r="E26" s="398"/>
      <c r="F26" s="398"/>
      <c r="G26" s="398"/>
      <c r="H26" s="398"/>
      <c r="I26" s="398"/>
      <c r="J26" s="398"/>
      <c r="K26" s="398"/>
      <c r="L26" s="398"/>
      <c r="M26" s="399">
        <f>SUM(M27:N28)</f>
        <v>1922.84</v>
      </c>
      <c r="N26" s="398"/>
      <c r="O26" s="399">
        <f>SUM(O27:P28)</f>
        <v>4143</v>
      </c>
      <c r="P26" s="398"/>
      <c r="Q26" s="399">
        <f>SUM(Q27:R28)</f>
        <v>6293</v>
      </c>
      <c r="R26" s="398"/>
      <c r="S26" s="399">
        <f>SUM(S27:T28)</f>
        <v>3851.92</v>
      </c>
      <c r="T26" s="398"/>
      <c r="U26" s="394">
        <f>S26/M26*100</f>
        <v>200.32451998086165</v>
      </c>
      <c r="V26" s="395"/>
      <c r="W26" s="394">
        <f t="shared" si="1"/>
        <v>61.209597965993964</v>
      </c>
      <c r="X26" s="396"/>
      <c r="Z26" s="265"/>
    </row>
    <row r="27" spans="1:26" s="14" customFormat="1" x14ac:dyDescent="0.25">
      <c r="A27" s="443" t="s">
        <v>99</v>
      </c>
      <c r="B27" s="439"/>
      <c r="C27" s="439"/>
      <c r="D27" s="439"/>
      <c r="E27" s="439"/>
      <c r="F27" s="439"/>
      <c r="G27" s="439"/>
      <c r="H27" s="439"/>
      <c r="I27" s="439"/>
      <c r="J27" s="439"/>
      <c r="K27" s="439"/>
      <c r="L27" s="439"/>
      <c r="M27" s="438">
        <v>1922.84</v>
      </c>
      <c r="N27" s="439"/>
      <c r="O27" s="438">
        <v>4143</v>
      </c>
      <c r="P27" s="439"/>
      <c r="Q27" s="438">
        <v>6293</v>
      </c>
      <c r="R27" s="439"/>
      <c r="S27" s="438">
        <v>3851.92</v>
      </c>
      <c r="T27" s="439"/>
      <c r="U27" s="440">
        <f>S27/M27*100</f>
        <v>200.32451998086165</v>
      </c>
      <c r="V27" s="441"/>
      <c r="W27" s="440">
        <f t="shared" si="1"/>
        <v>61.209597965993964</v>
      </c>
      <c r="X27" s="442"/>
      <c r="Z27" s="254"/>
    </row>
    <row r="28" spans="1:26" s="98" customFormat="1" x14ac:dyDescent="0.25">
      <c r="A28" s="443" t="s">
        <v>314</v>
      </c>
      <c r="B28" s="439"/>
      <c r="C28" s="439"/>
      <c r="D28" s="439"/>
      <c r="E28" s="439"/>
      <c r="F28" s="439"/>
      <c r="G28" s="439"/>
      <c r="H28" s="439"/>
      <c r="I28" s="439"/>
      <c r="J28" s="439"/>
      <c r="K28" s="439"/>
      <c r="L28" s="439"/>
      <c r="M28" s="438">
        <v>0</v>
      </c>
      <c r="N28" s="439"/>
      <c r="O28" s="438">
        <v>0</v>
      </c>
      <c r="P28" s="439"/>
      <c r="Q28" s="438">
        <v>0</v>
      </c>
      <c r="R28" s="439"/>
      <c r="S28" s="438">
        <v>0</v>
      </c>
      <c r="T28" s="439"/>
      <c r="U28" s="440" t="e">
        <f>S28/M28*100</f>
        <v>#DIV/0!</v>
      </c>
      <c r="V28" s="441"/>
      <c r="W28" s="440" t="e">
        <f>S28/Q28*100</f>
        <v>#DIV/0!</v>
      </c>
      <c r="X28" s="442"/>
      <c r="Z28" s="254"/>
    </row>
    <row r="29" spans="1:26" s="99" customFormat="1" x14ac:dyDescent="0.25">
      <c r="A29" s="397" t="s">
        <v>100</v>
      </c>
      <c r="B29" s="398"/>
      <c r="C29" s="398"/>
      <c r="D29" s="398"/>
      <c r="E29" s="398"/>
      <c r="F29" s="398"/>
      <c r="G29" s="398"/>
      <c r="H29" s="398"/>
      <c r="I29" s="398"/>
      <c r="J29" s="398"/>
      <c r="K29" s="398"/>
      <c r="L29" s="398"/>
      <c r="M29" s="399">
        <f>SUM(M30:N30)</f>
        <v>0</v>
      </c>
      <c r="N29" s="398"/>
      <c r="O29" s="399">
        <f>SUM(O30:P30)</f>
        <v>0</v>
      </c>
      <c r="P29" s="398"/>
      <c r="Q29" s="399">
        <f>SUM(Q30:R30)</f>
        <v>0</v>
      </c>
      <c r="R29" s="398"/>
      <c r="S29" s="399">
        <f>SUM(S30:T30)</f>
        <v>0</v>
      </c>
      <c r="T29" s="398"/>
      <c r="U29" s="394"/>
      <c r="V29" s="395"/>
      <c r="W29" s="394" t="e">
        <f>S29/Q29*100</f>
        <v>#DIV/0!</v>
      </c>
      <c r="X29" s="396"/>
      <c r="Z29" s="265"/>
    </row>
    <row r="30" spans="1:26" s="14" customFormat="1" ht="13.8" thickBot="1" x14ac:dyDescent="0.3">
      <c r="A30" s="443" t="s">
        <v>102</v>
      </c>
      <c r="B30" s="439"/>
      <c r="C30" s="439"/>
      <c r="D30" s="439"/>
      <c r="E30" s="439"/>
      <c r="F30" s="439"/>
      <c r="G30" s="439"/>
      <c r="H30" s="439"/>
      <c r="I30" s="439"/>
      <c r="J30" s="439"/>
      <c r="K30" s="439"/>
      <c r="L30" s="439"/>
      <c r="M30" s="438">
        <v>0</v>
      </c>
      <c r="N30" s="439"/>
      <c r="O30" s="438">
        <v>0</v>
      </c>
      <c r="P30" s="439"/>
      <c r="Q30" s="438">
        <v>0</v>
      </c>
      <c r="R30" s="439"/>
      <c r="S30" s="438">
        <v>0</v>
      </c>
      <c r="T30" s="439"/>
      <c r="U30" s="440"/>
      <c r="V30" s="441"/>
      <c r="W30" s="440" t="e">
        <f>S30/Q30*100</f>
        <v>#DIV/0!</v>
      </c>
      <c r="X30" s="442"/>
      <c r="Z30" s="254"/>
    </row>
    <row r="31" spans="1:26" s="104" customFormat="1" ht="13.8" thickBot="1" x14ac:dyDescent="0.3">
      <c r="A31" s="444" t="s">
        <v>248</v>
      </c>
      <c r="B31" s="446"/>
      <c r="C31" s="446"/>
      <c r="D31" s="446"/>
      <c r="E31" s="446"/>
      <c r="F31" s="446"/>
      <c r="G31" s="446"/>
      <c r="H31" s="446"/>
      <c r="I31" s="446"/>
      <c r="J31" s="105"/>
      <c r="K31" s="105"/>
      <c r="L31" s="105"/>
      <c r="M31" s="453">
        <f>M14+M17+M20+M23+M26+M29</f>
        <v>2148242.7999999998</v>
      </c>
      <c r="N31" s="453"/>
      <c r="O31" s="453">
        <f>O14+O17+O20+O23+O26+O29</f>
        <v>2533825</v>
      </c>
      <c r="P31" s="453"/>
      <c r="Q31" s="453">
        <f>Q14+Q17+Q20+Q23+Q26+Q29</f>
        <v>2615295</v>
      </c>
      <c r="R31" s="453"/>
      <c r="S31" s="453">
        <f>S14+S17+S20+S23+S26+S29</f>
        <v>2365880.92</v>
      </c>
      <c r="T31" s="453"/>
      <c r="U31" s="451">
        <f>S31/M31*100</f>
        <v>110.13098333205167</v>
      </c>
      <c r="V31" s="451"/>
      <c r="W31" s="451">
        <f t="shared" si="1"/>
        <v>90.463252520270174</v>
      </c>
      <c r="X31" s="454"/>
      <c r="Z31" s="266"/>
    </row>
    <row r="32" spans="1:26" s="99" customFormat="1" ht="18.75" customHeight="1" thickBot="1" x14ac:dyDescent="0.3">
      <c r="A32" s="147"/>
      <c r="B32" s="147"/>
      <c r="C32" s="147"/>
      <c r="D32" s="147"/>
      <c r="E32" s="147"/>
      <c r="F32" s="147"/>
      <c r="G32" s="147"/>
      <c r="H32" s="147"/>
      <c r="I32" s="147"/>
      <c r="J32" s="148"/>
      <c r="K32" s="148"/>
      <c r="L32" s="148"/>
      <c r="M32" s="149"/>
      <c r="N32" s="149"/>
      <c r="O32" s="149"/>
      <c r="P32" s="149"/>
      <c r="Q32" s="149"/>
      <c r="R32" s="149"/>
      <c r="S32" s="149"/>
      <c r="T32" s="149"/>
      <c r="U32" s="150"/>
      <c r="V32" s="150"/>
      <c r="W32" s="150"/>
      <c r="X32" s="150"/>
      <c r="Z32" s="265"/>
    </row>
    <row r="33" spans="1:26" s="104" customFormat="1" ht="13.8" thickBot="1" x14ac:dyDescent="0.3">
      <c r="A33" s="444" t="s">
        <v>253</v>
      </c>
      <c r="B33" s="445"/>
      <c r="C33" s="445"/>
      <c r="D33" s="445"/>
      <c r="E33" s="445"/>
      <c r="F33" s="445"/>
      <c r="G33" s="445"/>
      <c r="H33" s="445"/>
      <c r="I33" s="445"/>
      <c r="J33" s="445"/>
      <c r="K33" s="445"/>
      <c r="L33" s="445"/>
      <c r="M33" s="446" t="s">
        <v>0</v>
      </c>
      <c r="N33" s="445"/>
      <c r="O33" s="447" t="s">
        <v>0</v>
      </c>
      <c r="P33" s="448"/>
      <c r="Q33" s="447" t="s">
        <v>0</v>
      </c>
      <c r="R33" s="448"/>
      <c r="S33" s="447" t="s">
        <v>0</v>
      </c>
      <c r="T33" s="448"/>
      <c r="U33" s="449"/>
      <c r="V33" s="450"/>
      <c r="W33" s="451"/>
      <c r="X33" s="452"/>
      <c r="Z33" s="266"/>
    </row>
    <row r="34" spans="1:26" s="99" customFormat="1" x14ac:dyDescent="0.25">
      <c r="A34" s="435" t="s">
        <v>89</v>
      </c>
      <c r="B34" s="436"/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7">
        <f>SUM(M35:N36)</f>
        <v>236747.98</v>
      </c>
      <c r="N34" s="436"/>
      <c r="O34" s="437">
        <f>SUM(O35:P36)</f>
        <v>258260</v>
      </c>
      <c r="P34" s="436"/>
      <c r="Q34" s="437">
        <f>SUM(Q35:R36)</f>
        <v>269680</v>
      </c>
      <c r="R34" s="436"/>
      <c r="S34" s="437">
        <f>SUM(S35:T36)</f>
        <v>262156.34999999998</v>
      </c>
      <c r="T34" s="436"/>
      <c r="U34" s="427">
        <f>S34/M34*100</f>
        <v>110.73224362885799</v>
      </c>
      <c r="V34" s="456"/>
      <c r="W34" s="427">
        <f t="shared" si="1"/>
        <v>97.210156481756144</v>
      </c>
      <c r="X34" s="457"/>
      <c r="Z34" s="265"/>
    </row>
    <row r="35" spans="1:26" s="92" customFormat="1" x14ac:dyDescent="0.25">
      <c r="A35" s="403" t="s">
        <v>90</v>
      </c>
      <c r="B35" s="455"/>
      <c r="C35" s="455"/>
      <c r="D35" s="455"/>
      <c r="E35" s="455"/>
      <c r="F35" s="455"/>
      <c r="G35" s="455"/>
      <c r="H35" s="455"/>
      <c r="I35" s="455"/>
      <c r="J35" s="455"/>
      <c r="K35" s="455"/>
      <c r="L35" s="455"/>
      <c r="M35" s="402">
        <v>114080.66</v>
      </c>
      <c r="N35" s="455"/>
      <c r="O35" s="402">
        <f>128000+7500</f>
        <v>135500</v>
      </c>
      <c r="P35" s="455"/>
      <c r="Q35" s="402">
        <f>139420+7500</f>
        <v>146920</v>
      </c>
      <c r="R35" s="455"/>
      <c r="S35" s="402">
        <f>132142.91+7389.01</f>
        <v>139531.92000000001</v>
      </c>
      <c r="T35" s="455"/>
      <c r="U35" s="400">
        <f>S35/M35*100</f>
        <v>122.30988144703932</v>
      </c>
      <c r="V35" s="458"/>
      <c r="W35" s="400">
        <f t="shared" si="1"/>
        <v>94.97135856248299</v>
      </c>
      <c r="X35" s="459"/>
      <c r="Z35" s="255"/>
    </row>
    <row r="36" spans="1:26" s="92" customFormat="1" x14ac:dyDescent="0.25">
      <c r="A36" s="461" t="s">
        <v>91</v>
      </c>
      <c r="B36" s="462"/>
      <c r="C36" s="462"/>
      <c r="D36" s="462"/>
      <c r="E36" s="462"/>
      <c r="F36" s="462"/>
      <c r="G36" s="462"/>
      <c r="H36" s="462"/>
      <c r="I36" s="462"/>
      <c r="J36" s="462"/>
      <c r="K36" s="462"/>
      <c r="L36" s="462"/>
      <c r="M36" s="463">
        <v>122667.32</v>
      </c>
      <c r="N36" s="462"/>
      <c r="O36" s="463">
        <v>122760</v>
      </c>
      <c r="P36" s="462"/>
      <c r="Q36" s="463">
        <v>122760</v>
      </c>
      <c r="R36" s="462"/>
      <c r="S36" s="463">
        <v>122624.43</v>
      </c>
      <c r="T36" s="462"/>
      <c r="U36" s="464">
        <f>S36/M36*100</f>
        <v>99.965035512310848</v>
      </c>
      <c r="V36" s="465"/>
      <c r="W36" s="464">
        <f t="shared" si="1"/>
        <v>99.889565004887586</v>
      </c>
      <c r="X36" s="466"/>
      <c r="Z36" s="255"/>
    </row>
    <row r="37" spans="1:26" s="100" customFormat="1" x14ac:dyDescent="0.25">
      <c r="A37" s="397" t="s">
        <v>92</v>
      </c>
      <c r="B37" s="398"/>
      <c r="C37" s="398"/>
      <c r="D37" s="398"/>
      <c r="E37" s="398"/>
      <c r="F37" s="398"/>
      <c r="G37" s="398"/>
      <c r="H37" s="398"/>
      <c r="I37" s="398"/>
      <c r="J37" s="398"/>
      <c r="K37" s="398"/>
      <c r="L37" s="398"/>
      <c r="M37" s="399">
        <f>SUM(M38:N39)</f>
        <v>19586.599999999999</v>
      </c>
      <c r="N37" s="398"/>
      <c r="O37" s="399">
        <f>SUM(O38:P39)</f>
        <v>28634</v>
      </c>
      <c r="P37" s="398"/>
      <c r="Q37" s="399">
        <f>SUM(Q38:R39)</f>
        <v>28634</v>
      </c>
      <c r="R37" s="398"/>
      <c r="S37" s="399">
        <f>SUM(S38:T39)</f>
        <v>19667.310000000001</v>
      </c>
      <c r="T37" s="398"/>
      <c r="U37" s="394">
        <f t="shared" ref="U37:U47" si="2">S37/M37*100</f>
        <v>100.41206743385787</v>
      </c>
      <c r="V37" s="460"/>
      <c r="W37" s="394">
        <f t="shared" si="1"/>
        <v>68.685164489767416</v>
      </c>
      <c r="X37" s="396"/>
      <c r="Z37" s="267"/>
    </row>
    <row r="38" spans="1:26" s="92" customFormat="1" x14ac:dyDescent="0.25">
      <c r="A38" s="403" t="s">
        <v>93</v>
      </c>
      <c r="B38" s="455"/>
      <c r="C38" s="455"/>
      <c r="D38" s="455"/>
      <c r="E38" s="455"/>
      <c r="F38" s="455"/>
      <c r="G38" s="455"/>
      <c r="H38" s="455"/>
      <c r="I38" s="455"/>
      <c r="J38" s="455"/>
      <c r="K38" s="455"/>
      <c r="L38" s="455"/>
      <c r="M38" s="402">
        <v>15586.6</v>
      </c>
      <c r="N38" s="455"/>
      <c r="O38" s="402">
        <v>22700</v>
      </c>
      <c r="P38" s="455"/>
      <c r="Q38" s="402">
        <v>22700</v>
      </c>
      <c r="R38" s="455"/>
      <c r="S38" s="402">
        <v>13734</v>
      </c>
      <c r="T38" s="455"/>
      <c r="U38" s="400">
        <f t="shared" si="2"/>
        <v>88.11414933340177</v>
      </c>
      <c r="V38" s="458"/>
      <c r="W38" s="400">
        <f t="shared" si="1"/>
        <v>60.502202643171813</v>
      </c>
      <c r="X38" s="459"/>
      <c r="Z38" s="255"/>
    </row>
    <row r="39" spans="1:26" s="92" customFormat="1" x14ac:dyDescent="0.25">
      <c r="A39" s="467" t="s">
        <v>251</v>
      </c>
      <c r="B39" s="468"/>
      <c r="C39" s="468"/>
      <c r="D39" s="468"/>
      <c r="E39" s="468"/>
      <c r="F39" s="468"/>
      <c r="G39" s="468"/>
      <c r="H39" s="468"/>
      <c r="I39" s="468"/>
      <c r="J39" s="106"/>
      <c r="K39" s="106"/>
      <c r="L39" s="106"/>
      <c r="M39" s="407">
        <v>4000</v>
      </c>
      <c r="N39" s="407"/>
      <c r="O39" s="407">
        <v>5934</v>
      </c>
      <c r="P39" s="407"/>
      <c r="Q39" s="407">
        <v>5934</v>
      </c>
      <c r="R39" s="407"/>
      <c r="S39" s="407">
        <v>5933.31</v>
      </c>
      <c r="T39" s="407"/>
      <c r="U39" s="477">
        <f>S39/M39*100</f>
        <v>148.33275</v>
      </c>
      <c r="V39" s="478"/>
      <c r="W39" s="477">
        <f t="shared" si="1"/>
        <v>99.988372093023258</v>
      </c>
      <c r="X39" s="479"/>
      <c r="Z39" s="255"/>
    </row>
    <row r="40" spans="1:26" s="100" customFormat="1" x14ac:dyDescent="0.25">
      <c r="A40" s="397" t="s">
        <v>94</v>
      </c>
      <c r="B40" s="398"/>
      <c r="C40" s="398"/>
      <c r="D40" s="398"/>
      <c r="E40" s="398"/>
      <c r="F40" s="398"/>
      <c r="G40" s="398"/>
      <c r="H40" s="398"/>
      <c r="I40" s="398"/>
      <c r="J40" s="398"/>
      <c r="K40" s="398"/>
      <c r="L40" s="398"/>
      <c r="M40" s="399">
        <f>SUM(M41:N42)</f>
        <v>39721.56</v>
      </c>
      <c r="N40" s="398"/>
      <c r="O40" s="399">
        <f>SUM(O41:P42)</f>
        <v>86483</v>
      </c>
      <c r="P40" s="398"/>
      <c r="Q40" s="399">
        <f>SUM(Q41:R42)</f>
        <v>86483</v>
      </c>
      <c r="R40" s="398"/>
      <c r="S40" s="399">
        <f>SUM(S41:T42)</f>
        <v>75716.149999999994</v>
      </c>
      <c r="T40" s="398"/>
      <c r="U40" s="394">
        <f t="shared" si="2"/>
        <v>190.61726175910511</v>
      </c>
      <c r="V40" s="460"/>
      <c r="W40" s="394">
        <f t="shared" si="1"/>
        <v>87.55032781008984</v>
      </c>
      <c r="X40" s="396"/>
      <c r="Z40" s="267"/>
    </row>
    <row r="41" spans="1:26" s="92" customFormat="1" x14ac:dyDescent="0.25">
      <c r="A41" s="403" t="s">
        <v>95</v>
      </c>
      <c r="B41" s="455"/>
      <c r="C41" s="455"/>
      <c r="D41" s="455"/>
      <c r="E41" s="455"/>
      <c r="F41" s="455"/>
      <c r="G41" s="455"/>
      <c r="H41" s="455"/>
      <c r="I41" s="455"/>
      <c r="J41" s="455"/>
      <c r="K41" s="455"/>
      <c r="L41" s="455"/>
      <c r="M41" s="402">
        <v>23685.1</v>
      </c>
      <c r="N41" s="455"/>
      <c r="O41" s="402">
        <v>56130</v>
      </c>
      <c r="P41" s="455"/>
      <c r="Q41" s="402">
        <v>56130</v>
      </c>
      <c r="R41" s="455"/>
      <c r="S41" s="402">
        <f>50746.82+0.09</f>
        <v>50746.909999999996</v>
      </c>
      <c r="T41" s="455"/>
      <c r="U41" s="400">
        <f t="shared" si="2"/>
        <v>214.25668458229015</v>
      </c>
      <c r="V41" s="458"/>
      <c r="W41" s="400">
        <f t="shared" si="1"/>
        <v>90.409602707999284</v>
      </c>
      <c r="X41" s="459"/>
      <c r="Z41" s="255"/>
    </row>
    <row r="42" spans="1:26" s="92" customFormat="1" x14ac:dyDescent="0.25">
      <c r="A42" s="405" t="s">
        <v>103</v>
      </c>
      <c r="B42" s="406"/>
      <c r="C42" s="406"/>
      <c r="D42" s="406"/>
      <c r="E42" s="406"/>
      <c r="F42" s="406"/>
      <c r="G42" s="406"/>
      <c r="H42" s="406"/>
      <c r="I42" s="406"/>
      <c r="J42" s="406"/>
      <c r="K42" s="406"/>
      <c r="L42" s="406"/>
      <c r="M42" s="407">
        <v>16036.46</v>
      </c>
      <c r="N42" s="406"/>
      <c r="O42" s="407">
        <f>14865+15488</f>
        <v>30353</v>
      </c>
      <c r="P42" s="406"/>
      <c r="Q42" s="407">
        <f>14865+15488</f>
        <v>30353</v>
      </c>
      <c r="R42" s="406"/>
      <c r="S42" s="407">
        <f>12706.8+12262.44</f>
        <v>24969.239999999998</v>
      </c>
      <c r="T42" s="406"/>
      <c r="U42" s="408">
        <f t="shared" si="2"/>
        <v>155.70294192109731</v>
      </c>
      <c r="V42" s="469"/>
      <c r="W42" s="408">
        <f t="shared" si="1"/>
        <v>82.262840575890351</v>
      </c>
      <c r="X42" s="410"/>
      <c r="Z42" s="255"/>
    </row>
    <row r="43" spans="1:26" s="100" customFormat="1" x14ac:dyDescent="0.25">
      <c r="A43" s="397" t="s">
        <v>96</v>
      </c>
      <c r="B43" s="398"/>
      <c r="C43" s="398"/>
      <c r="D43" s="398"/>
      <c r="E43" s="398"/>
      <c r="F43" s="398"/>
      <c r="G43" s="398"/>
      <c r="H43" s="398"/>
      <c r="I43" s="398"/>
      <c r="J43" s="398"/>
      <c r="K43" s="398"/>
      <c r="L43" s="398"/>
      <c r="M43" s="399">
        <f>SUM(M44:N45)</f>
        <v>1819704.1199999999</v>
      </c>
      <c r="N43" s="398"/>
      <c r="O43" s="399">
        <f>SUM(O44:P45)</f>
        <v>2150703</v>
      </c>
      <c r="P43" s="398"/>
      <c r="Q43" s="399">
        <f>SUM(Q44:R45)</f>
        <v>2218603</v>
      </c>
      <c r="R43" s="398"/>
      <c r="S43" s="399">
        <f>SUM(S44:T45)</f>
        <v>2183408.38</v>
      </c>
      <c r="T43" s="398"/>
      <c r="U43" s="394">
        <f t="shared" si="2"/>
        <v>119.9869998645714</v>
      </c>
      <c r="V43" s="460"/>
      <c r="W43" s="394">
        <f t="shared" si="1"/>
        <v>98.413658504924044</v>
      </c>
      <c r="X43" s="396"/>
      <c r="Z43" s="267"/>
    </row>
    <row r="44" spans="1:26" s="92" customFormat="1" x14ac:dyDescent="0.25">
      <c r="A44" s="403" t="s">
        <v>97</v>
      </c>
      <c r="B44" s="455"/>
      <c r="C44" s="455"/>
      <c r="D44" s="455"/>
      <c r="E44" s="455"/>
      <c r="F44" s="455"/>
      <c r="G44" s="455"/>
      <c r="H44" s="455"/>
      <c r="I44" s="455"/>
      <c r="J44" s="455"/>
      <c r="K44" s="455"/>
      <c r="L44" s="455"/>
      <c r="M44" s="402">
        <v>1818812.45</v>
      </c>
      <c r="N44" s="455"/>
      <c r="O44" s="402">
        <f>21520+2012300+10000+83600</f>
        <v>2127420</v>
      </c>
      <c r="P44" s="455"/>
      <c r="Q44" s="402">
        <f>21520+2085300+10000+78500</f>
        <v>2195320</v>
      </c>
      <c r="R44" s="455"/>
      <c r="S44" s="402">
        <f>6061.8+2075308.84+3753.3+76255.41</f>
        <v>2161379.35</v>
      </c>
      <c r="T44" s="455"/>
      <c r="U44" s="400">
        <f t="shared" si="2"/>
        <v>118.83464674986143</v>
      </c>
      <c r="V44" s="458"/>
      <c r="W44" s="400">
        <f t="shared" si="1"/>
        <v>98.453954321010144</v>
      </c>
      <c r="X44" s="459"/>
      <c r="Z44" s="255"/>
    </row>
    <row r="45" spans="1:26" s="92" customFormat="1" x14ac:dyDescent="0.25">
      <c r="A45" s="405" t="s">
        <v>104</v>
      </c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7">
        <v>891.67</v>
      </c>
      <c r="N45" s="406"/>
      <c r="O45" s="407">
        <f>21797+1486</f>
        <v>23283</v>
      </c>
      <c r="P45" s="406"/>
      <c r="Q45" s="407">
        <f>21797+1486</f>
        <v>23283</v>
      </c>
      <c r="R45" s="406"/>
      <c r="S45" s="407">
        <f>20543.46+1485.57</f>
        <v>22029.03</v>
      </c>
      <c r="T45" s="406"/>
      <c r="U45" s="408">
        <f t="shared" si="2"/>
        <v>2470.5361849114579</v>
      </c>
      <c r="V45" s="469"/>
      <c r="W45" s="408">
        <f t="shared" si="1"/>
        <v>94.614224971008881</v>
      </c>
      <c r="X45" s="410"/>
      <c r="Z45" s="255"/>
    </row>
    <row r="46" spans="1:26" s="100" customFormat="1" x14ac:dyDescent="0.25">
      <c r="A46" s="397" t="s">
        <v>98</v>
      </c>
      <c r="B46" s="398"/>
      <c r="C46" s="398"/>
      <c r="D46" s="398"/>
      <c r="E46" s="398"/>
      <c r="F46" s="398"/>
      <c r="G46" s="398"/>
      <c r="H46" s="398"/>
      <c r="I46" s="398"/>
      <c r="J46" s="398"/>
      <c r="K46" s="398"/>
      <c r="L46" s="398"/>
      <c r="M46" s="399">
        <f>SUM(M47:N48)</f>
        <v>2340.29</v>
      </c>
      <c r="N46" s="398"/>
      <c r="O46" s="399">
        <f>SUM(O47:P48)</f>
        <v>4000</v>
      </c>
      <c r="P46" s="398"/>
      <c r="Q46" s="399">
        <f>SUM(Q47:R48)</f>
        <v>6150</v>
      </c>
      <c r="R46" s="398"/>
      <c r="S46" s="399">
        <f>SUM(S47:T48)</f>
        <v>3225</v>
      </c>
      <c r="T46" s="398"/>
      <c r="U46" s="394">
        <f t="shared" si="2"/>
        <v>137.80343461707739</v>
      </c>
      <c r="V46" s="460"/>
      <c r="W46" s="394">
        <f t="shared" si="1"/>
        <v>52.439024390243901</v>
      </c>
      <c r="X46" s="396"/>
      <c r="Z46" s="267"/>
    </row>
    <row r="47" spans="1:26" s="92" customFormat="1" x14ac:dyDescent="0.25">
      <c r="A47" s="403" t="s">
        <v>99</v>
      </c>
      <c r="B47" s="455"/>
      <c r="C47" s="455"/>
      <c r="D47" s="455"/>
      <c r="E47" s="455"/>
      <c r="F47" s="455"/>
      <c r="G47" s="455"/>
      <c r="H47" s="455"/>
      <c r="I47" s="455"/>
      <c r="J47" s="455"/>
      <c r="K47" s="455"/>
      <c r="L47" s="455"/>
      <c r="M47" s="402">
        <v>2340.29</v>
      </c>
      <c r="N47" s="455"/>
      <c r="O47" s="402">
        <v>4000</v>
      </c>
      <c r="P47" s="455"/>
      <c r="Q47" s="402">
        <f>4000+2150</f>
        <v>6150</v>
      </c>
      <c r="R47" s="455"/>
      <c r="S47" s="402">
        <f>1080+2145</f>
        <v>3225</v>
      </c>
      <c r="T47" s="455"/>
      <c r="U47" s="400">
        <f t="shared" si="2"/>
        <v>137.80343461707739</v>
      </c>
      <c r="V47" s="458"/>
      <c r="W47" s="400">
        <f t="shared" si="1"/>
        <v>52.439024390243901</v>
      </c>
      <c r="X47" s="459"/>
      <c r="Z47" s="255"/>
    </row>
    <row r="48" spans="1:26" s="92" customFormat="1" x14ac:dyDescent="0.25">
      <c r="A48" s="405" t="s">
        <v>105</v>
      </c>
      <c r="B48" s="406"/>
      <c r="C48" s="406"/>
      <c r="D48" s="406"/>
      <c r="E48" s="406"/>
      <c r="F48" s="406"/>
      <c r="G48" s="406"/>
      <c r="H48" s="406"/>
      <c r="I48" s="406"/>
      <c r="J48" s="406"/>
      <c r="K48" s="406"/>
      <c r="L48" s="406"/>
      <c r="M48" s="407">
        <v>0</v>
      </c>
      <c r="N48" s="406"/>
      <c r="O48" s="407">
        <v>0</v>
      </c>
      <c r="P48" s="406"/>
      <c r="Q48" s="407">
        <v>0</v>
      </c>
      <c r="R48" s="406"/>
      <c r="S48" s="407">
        <v>0</v>
      </c>
      <c r="T48" s="406"/>
      <c r="U48" s="408" t="e">
        <f t="shared" ref="U48" si="3">S48/M48*100</f>
        <v>#DIV/0!</v>
      </c>
      <c r="V48" s="469"/>
      <c r="W48" s="408" t="e">
        <f>S48/Q48*100</f>
        <v>#DIV/0!</v>
      </c>
      <c r="X48" s="410"/>
      <c r="Z48" s="255"/>
    </row>
    <row r="49" spans="1:26" s="100" customFormat="1" x14ac:dyDescent="0.25">
      <c r="A49" s="397" t="s">
        <v>100</v>
      </c>
      <c r="B49" s="398"/>
      <c r="C49" s="398"/>
      <c r="D49" s="398"/>
      <c r="E49" s="398"/>
      <c r="F49" s="398"/>
      <c r="G49" s="398"/>
      <c r="H49" s="398"/>
      <c r="I49" s="398"/>
      <c r="J49" s="398"/>
      <c r="K49" s="398"/>
      <c r="L49" s="398"/>
      <c r="M49" s="399">
        <f>SUM(M50:N51)</f>
        <v>0</v>
      </c>
      <c r="N49" s="398"/>
      <c r="O49" s="399">
        <f>SUM(O50:P51)</f>
        <v>0</v>
      </c>
      <c r="P49" s="398"/>
      <c r="Q49" s="399">
        <f>SUM(Q50:R51)</f>
        <v>0</v>
      </c>
      <c r="R49" s="398"/>
      <c r="S49" s="399">
        <f>SUM(S50:T51)</f>
        <v>0</v>
      </c>
      <c r="T49" s="398"/>
      <c r="U49" s="394"/>
      <c r="V49" s="460"/>
      <c r="W49" s="394"/>
      <c r="X49" s="396"/>
      <c r="Z49" s="267"/>
    </row>
    <row r="50" spans="1:26" s="92" customFormat="1" x14ac:dyDescent="0.25">
      <c r="A50" s="403" t="s">
        <v>101</v>
      </c>
      <c r="B50" s="455"/>
      <c r="C50" s="455"/>
      <c r="D50" s="455"/>
      <c r="E50" s="455"/>
      <c r="F50" s="455"/>
      <c r="G50" s="455"/>
      <c r="H50" s="455"/>
      <c r="I50" s="455"/>
      <c r="J50" s="455"/>
      <c r="K50" s="455"/>
      <c r="L50" s="455"/>
      <c r="M50" s="402">
        <v>0</v>
      </c>
      <c r="N50" s="455"/>
      <c r="O50" s="402">
        <v>0</v>
      </c>
      <c r="P50" s="455"/>
      <c r="Q50" s="402"/>
      <c r="R50" s="455"/>
      <c r="S50" s="402">
        <v>0</v>
      </c>
      <c r="T50" s="455"/>
      <c r="U50" s="400"/>
      <c r="V50" s="458"/>
      <c r="W50" s="400"/>
      <c r="X50" s="459"/>
      <c r="Z50" s="255"/>
    </row>
    <row r="51" spans="1:26" s="92" customFormat="1" ht="13.8" thickBot="1" x14ac:dyDescent="0.3">
      <c r="A51" s="480" t="s">
        <v>102</v>
      </c>
      <c r="B51" s="481"/>
      <c r="C51" s="481"/>
      <c r="D51" s="481"/>
      <c r="E51" s="481"/>
      <c r="F51" s="481"/>
      <c r="G51" s="481"/>
      <c r="H51" s="481"/>
      <c r="I51" s="481"/>
      <c r="J51" s="481"/>
      <c r="K51" s="481"/>
      <c r="L51" s="481"/>
      <c r="M51" s="482">
        <v>0</v>
      </c>
      <c r="N51" s="481"/>
      <c r="O51" s="482">
        <v>0</v>
      </c>
      <c r="P51" s="481"/>
      <c r="Q51" s="482"/>
      <c r="R51" s="481"/>
      <c r="S51" s="482">
        <v>0</v>
      </c>
      <c r="T51" s="481"/>
      <c r="U51" s="483"/>
      <c r="V51" s="484"/>
      <c r="W51" s="483"/>
      <c r="X51" s="485"/>
      <c r="Z51" s="255"/>
    </row>
    <row r="52" spans="1:26" s="181" customFormat="1" ht="13.8" thickBot="1" x14ac:dyDescent="0.3">
      <c r="A52" s="472" t="s">
        <v>249</v>
      </c>
      <c r="B52" s="473"/>
      <c r="C52" s="473"/>
      <c r="D52" s="473"/>
      <c r="E52" s="473"/>
      <c r="F52" s="473"/>
      <c r="G52" s="473"/>
      <c r="H52" s="473"/>
      <c r="I52" s="473"/>
      <c r="J52" s="473"/>
      <c r="K52" s="473"/>
      <c r="L52" s="473"/>
      <c r="M52" s="474">
        <f>M34+M37+M40+M43+M46+M49</f>
        <v>2118100.5499999998</v>
      </c>
      <c r="N52" s="475"/>
      <c r="O52" s="474">
        <f>O34+O37+O40+O43+O46+O49</f>
        <v>2528080</v>
      </c>
      <c r="P52" s="475"/>
      <c r="Q52" s="474">
        <f>Q34+Q37+Q40+Q43+Q46+Q49</f>
        <v>2609550</v>
      </c>
      <c r="R52" s="475"/>
      <c r="S52" s="474">
        <f>S34+S37+S40+S43+S46+S49</f>
        <v>2544173.19</v>
      </c>
      <c r="T52" s="475"/>
      <c r="U52" s="470">
        <f>S52/M52*100</f>
        <v>120.11578912058731</v>
      </c>
      <c r="V52" s="476"/>
      <c r="W52" s="470">
        <f t="shared" si="1"/>
        <v>97.494709432660798</v>
      </c>
      <c r="X52" s="471"/>
      <c r="Z52" s="268"/>
    </row>
    <row r="53" spans="1:26" s="93" customFormat="1" ht="13.8" thickTop="1" x14ac:dyDescent="0.25">
      <c r="M53" s="41"/>
      <c r="N53" s="41"/>
      <c r="U53" s="41"/>
      <c r="V53" s="41"/>
      <c r="W53" s="41"/>
      <c r="X53" s="41"/>
      <c r="Z53" s="269"/>
    </row>
    <row r="54" spans="1:26" x14ac:dyDescent="0.25">
      <c r="U54" s="41"/>
      <c r="V54" s="41"/>
      <c r="W54" s="41"/>
      <c r="X54" s="41"/>
    </row>
    <row r="55" spans="1:26" x14ac:dyDescent="0.25">
      <c r="U55" s="41"/>
      <c r="V55" s="41"/>
      <c r="W55" s="41"/>
      <c r="X55" s="41"/>
    </row>
  </sheetData>
  <mergeCells count="293">
    <mergeCell ref="W52:X52"/>
    <mergeCell ref="A52:L52"/>
    <mergeCell ref="M52:N52"/>
    <mergeCell ref="O52:P52"/>
    <mergeCell ref="Q52:R52"/>
    <mergeCell ref="S52:T52"/>
    <mergeCell ref="U52:V52"/>
    <mergeCell ref="U39:V39"/>
    <mergeCell ref="W39:X39"/>
    <mergeCell ref="A51:L51"/>
    <mergeCell ref="M51:N51"/>
    <mergeCell ref="O51:P51"/>
    <mergeCell ref="Q51:R51"/>
    <mergeCell ref="S51:T51"/>
    <mergeCell ref="U51:V51"/>
    <mergeCell ref="W51:X51"/>
    <mergeCell ref="A50:L50"/>
    <mergeCell ref="M50:N50"/>
    <mergeCell ref="O50:P50"/>
    <mergeCell ref="Q50:R50"/>
    <mergeCell ref="S50:T50"/>
    <mergeCell ref="U50:V50"/>
    <mergeCell ref="W50:X50"/>
    <mergeCell ref="A49:L49"/>
    <mergeCell ref="M49:N49"/>
    <mergeCell ref="O49:P49"/>
    <mergeCell ref="Q49:R49"/>
    <mergeCell ref="S49:T49"/>
    <mergeCell ref="U49:V49"/>
    <mergeCell ref="W47:X47"/>
    <mergeCell ref="A48:L48"/>
    <mergeCell ref="M48:N48"/>
    <mergeCell ref="O48:P48"/>
    <mergeCell ref="Q48:R48"/>
    <mergeCell ref="S48:T48"/>
    <mergeCell ref="W49:X49"/>
    <mergeCell ref="A46:L46"/>
    <mergeCell ref="M46:N46"/>
    <mergeCell ref="O46:P46"/>
    <mergeCell ref="Q46:R46"/>
    <mergeCell ref="S46:T46"/>
    <mergeCell ref="U46:V46"/>
    <mergeCell ref="W46:X46"/>
    <mergeCell ref="U48:V48"/>
    <mergeCell ref="W48:X48"/>
    <mergeCell ref="A47:L47"/>
    <mergeCell ref="M47:N47"/>
    <mergeCell ref="O47:P47"/>
    <mergeCell ref="Q47:R47"/>
    <mergeCell ref="S47:T47"/>
    <mergeCell ref="U47:V47"/>
    <mergeCell ref="A44:L44"/>
    <mergeCell ref="M44:N44"/>
    <mergeCell ref="O44:P44"/>
    <mergeCell ref="Q44:R44"/>
    <mergeCell ref="S44:T44"/>
    <mergeCell ref="U44:V44"/>
    <mergeCell ref="W44:X44"/>
    <mergeCell ref="A45:L45"/>
    <mergeCell ref="M45:N45"/>
    <mergeCell ref="O45:P45"/>
    <mergeCell ref="Q45:R45"/>
    <mergeCell ref="S45:T45"/>
    <mergeCell ref="U45:V45"/>
    <mergeCell ref="W45:X45"/>
    <mergeCell ref="O41:P41"/>
    <mergeCell ref="Q41:R41"/>
    <mergeCell ref="S41:T41"/>
    <mergeCell ref="U41:V41"/>
    <mergeCell ref="W41:X41"/>
    <mergeCell ref="A41:L41"/>
    <mergeCell ref="M41:N41"/>
    <mergeCell ref="U43:V43"/>
    <mergeCell ref="W43:X43"/>
    <mergeCell ref="A42:L42"/>
    <mergeCell ref="M42:N42"/>
    <mergeCell ref="O42:P42"/>
    <mergeCell ref="Q42:R42"/>
    <mergeCell ref="S42:T42"/>
    <mergeCell ref="U42:V42"/>
    <mergeCell ref="W42:X42"/>
    <mergeCell ref="A43:L43"/>
    <mergeCell ref="M43:N43"/>
    <mergeCell ref="O43:P43"/>
    <mergeCell ref="Q43:R43"/>
    <mergeCell ref="S43:T43"/>
    <mergeCell ref="U38:V38"/>
    <mergeCell ref="W38:X38"/>
    <mergeCell ref="O40:P40"/>
    <mergeCell ref="Q40:R40"/>
    <mergeCell ref="S40:T40"/>
    <mergeCell ref="U40:V40"/>
    <mergeCell ref="A38:L38"/>
    <mergeCell ref="M38:N38"/>
    <mergeCell ref="O38:P38"/>
    <mergeCell ref="Q38:R38"/>
    <mergeCell ref="S38:T38"/>
    <mergeCell ref="W40:X40"/>
    <mergeCell ref="A39:I39"/>
    <mergeCell ref="M39:N39"/>
    <mergeCell ref="O39:P39"/>
    <mergeCell ref="Q39:R39"/>
    <mergeCell ref="S39:T39"/>
    <mergeCell ref="A40:L40"/>
    <mergeCell ref="M40:N40"/>
    <mergeCell ref="S37:T37"/>
    <mergeCell ref="U37:V37"/>
    <mergeCell ref="A36:L36"/>
    <mergeCell ref="M36:N36"/>
    <mergeCell ref="O36:P36"/>
    <mergeCell ref="Q36:R36"/>
    <mergeCell ref="S36:T36"/>
    <mergeCell ref="U36:V36"/>
    <mergeCell ref="W36:X36"/>
    <mergeCell ref="W37:X37"/>
    <mergeCell ref="A37:L37"/>
    <mergeCell ref="M37:N37"/>
    <mergeCell ref="O37:P37"/>
    <mergeCell ref="Q37:R37"/>
    <mergeCell ref="A35:L35"/>
    <mergeCell ref="M35:N35"/>
    <mergeCell ref="U34:V34"/>
    <mergeCell ref="W34:X34"/>
    <mergeCell ref="O35:P35"/>
    <mergeCell ref="Q35:R35"/>
    <mergeCell ref="S35:T35"/>
    <mergeCell ref="U35:V35"/>
    <mergeCell ref="A34:L34"/>
    <mergeCell ref="M34:N34"/>
    <mergeCell ref="O34:P34"/>
    <mergeCell ref="Q34:R34"/>
    <mergeCell ref="S34:T34"/>
    <mergeCell ref="W35:X35"/>
    <mergeCell ref="O30:P30"/>
    <mergeCell ref="Q30:R30"/>
    <mergeCell ref="S30:T30"/>
    <mergeCell ref="U30:V30"/>
    <mergeCell ref="W29:X29"/>
    <mergeCell ref="W30:X30"/>
    <mergeCell ref="A33:L33"/>
    <mergeCell ref="M33:N33"/>
    <mergeCell ref="O33:P33"/>
    <mergeCell ref="Q33:R33"/>
    <mergeCell ref="S33:T33"/>
    <mergeCell ref="U33:V33"/>
    <mergeCell ref="W33:X33"/>
    <mergeCell ref="A30:L30"/>
    <mergeCell ref="M30:N30"/>
    <mergeCell ref="A31:I31"/>
    <mergeCell ref="M31:N31"/>
    <mergeCell ref="O31:P31"/>
    <mergeCell ref="Q31:R31"/>
    <mergeCell ref="S31:T31"/>
    <mergeCell ref="U31:V31"/>
    <mergeCell ref="W31:X31"/>
    <mergeCell ref="A27:L27"/>
    <mergeCell ref="M27:N27"/>
    <mergeCell ref="O27:P27"/>
    <mergeCell ref="Q27:R27"/>
    <mergeCell ref="S27:T27"/>
    <mergeCell ref="U27:V27"/>
    <mergeCell ref="W27:X27"/>
    <mergeCell ref="A29:L29"/>
    <mergeCell ref="M29:N29"/>
    <mergeCell ref="O29:P29"/>
    <mergeCell ref="Q29:R29"/>
    <mergeCell ref="S29:T29"/>
    <mergeCell ref="U29:V29"/>
    <mergeCell ref="A28:L28"/>
    <mergeCell ref="M28:N28"/>
    <mergeCell ref="O28:P28"/>
    <mergeCell ref="Q28:R28"/>
    <mergeCell ref="S28:T28"/>
    <mergeCell ref="U28:V28"/>
    <mergeCell ref="W28:X28"/>
    <mergeCell ref="A24:L24"/>
    <mergeCell ref="M24:N24"/>
    <mergeCell ref="O24:P24"/>
    <mergeCell ref="Q24:R24"/>
    <mergeCell ref="S24:T24"/>
    <mergeCell ref="U24:V24"/>
    <mergeCell ref="W24:X24"/>
    <mergeCell ref="A26:L26"/>
    <mergeCell ref="M26:N26"/>
    <mergeCell ref="O26:P26"/>
    <mergeCell ref="Q26:R26"/>
    <mergeCell ref="S26:T26"/>
    <mergeCell ref="U26:V26"/>
    <mergeCell ref="W26:X26"/>
    <mergeCell ref="A25:L25"/>
    <mergeCell ref="M25:N25"/>
    <mergeCell ref="O25:P25"/>
    <mergeCell ref="Q25:R25"/>
    <mergeCell ref="S25:T25"/>
    <mergeCell ref="U25:V25"/>
    <mergeCell ref="W25:X25"/>
    <mergeCell ref="A21:L21"/>
    <mergeCell ref="M21:N21"/>
    <mergeCell ref="O21:P21"/>
    <mergeCell ref="Q21:R21"/>
    <mergeCell ref="S21:T21"/>
    <mergeCell ref="U21:V21"/>
    <mergeCell ref="W21:X21"/>
    <mergeCell ref="A23:L23"/>
    <mergeCell ref="M23:N23"/>
    <mergeCell ref="O23:P23"/>
    <mergeCell ref="Q23:R23"/>
    <mergeCell ref="S23:T23"/>
    <mergeCell ref="U23:V23"/>
    <mergeCell ref="W23:X23"/>
    <mergeCell ref="A22:L22"/>
    <mergeCell ref="M22:N22"/>
    <mergeCell ref="O22:P22"/>
    <mergeCell ref="Q22:R22"/>
    <mergeCell ref="S22:T22"/>
    <mergeCell ref="U22:V22"/>
    <mergeCell ref="W22:X22"/>
    <mergeCell ref="Q18:R18"/>
    <mergeCell ref="S18:T18"/>
    <mergeCell ref="U18:V18"/>
    <mergeCell ref="W18:X18"/>
    <mergeCell ref="A20:L20"/>
    <mergeCell ref="M20:N20"/>
    <mergeCell ref="O20:P20"/>
    <mergeCell ref="Q20:R20"/>
    <mergeCell ref="S20:T20"/>
    <mergeCell ref="U20:V20"/>
    <mergeCell ref="W20:X20"/>
    <mergeCell ref="A19:L19"/>
    <mergeCell ref="M19:N19"/>
    <mergeCell ref="O19:P19"/>
    <mergeCell ref="Q19:R19"/>
    <mergeCell ref="S19:T19"/>
    <mergeCell ref="U19:V19"/>
    <mergeCell ref="W19:X19"/>
    <mergeCell ref="A18:L18"/>
    <mergeCell ref="M18:N18"/>
    <mergeCell ref="O18:P18"/>
    <mergeCell ref="U14:V14"/>
    <mergeCell ref="W14:X14"/>
    <mergeCell ref="A13:L13"/>
    <mergeCell ref="M13:N13"/>
    <mergeCell ref="O13:P13"/>
    <mergeCell ref="Q13:R13"/>
    <mergeCell ref="S13:T13"/>
    <mergeCell ref="U13:V13"/>
    <mergeCell ref="W13:X13"/>
    <mergeCell ref="A14:L14"/>
    <mergeCell ref="M14:N14"/>
    <mergeCell ref="O14:P14"/>
    <mergeCell ref="Q14:R14"/>
    <mergeCell ref="S14:T14"/>
    <mergeCell ref="A12:L12"/>
    <mergeCell ref="M12:N12"/>
    <mergeCell ref="O12:P12"/>
    <mergeCell ref="Q12:R12"/>
    <mergeCell ref="S12:T12"/>
    <mergeCell ref="U12:V12"/>
    <mergeCell ref="W12:X12"/>
    <mergeCell ref="A11:L11"/>
    <mergeCell ref="M11:N11"/>
    <mergeCell ref="A7:X7"/>
    <mergeCell ref="A5:X5"/>
    <mergeCell ref="O11:P11"/>
    <mergeCell ref="Q11:R11"/>
    <mergeCell ref="S11:T11"/>
    <mergeCell ref="U11:V11"/>
    <mergeCell ref="A10:X10"/>
    <mergeCell ref="W11:X11"/>
    <mergeCell ref="A6:X6"/>
    <mergeCell ref="A8:X8"/>
    <mergeCell ref="A9:X9"/>
    <mergeCell ref="U17:V17"/>
    <mergeCell ref="W17:X17"/>
    <mergeCell ref="A17:L17"/>
    <mergeCell ref="M17:N17"/>
    <mergeCell ref="O17:P17"/>
    <mergeCell ref="Q17:R17"/>
    <mergeCell ref="S17:T17"/>
    <mergeCell ref="W15:X15"/>
    <mergeCell ref="U15:V15"/>
    <mergeCell ref="S15:T15"/>
    <mergeCell ref="Q15:R15"/>
    <mergeCell ref="O15:P15"/>
    <mergeCell ref="M15:N15"/>
    <mergeCell ref="A15:L15"/>
    <mergeCell ref="A16:L16"/>
    <mergeCell ref="M16:N16"/>
    <mergeCell ref="O16:P16"/>
    <mergeCell ref="Q16:R16"/>
    <mergeCell ref="S16:T16"/>
    <mergeCell ref="U16:V16"/>
    <mergeCell ref="W16:X16"/>
  </mergeCells>
  <pageMargins left="0.55118110236220474" right="0.55118110236220474" top="0.59055118110236227" bottom="0.39370078740157483" header="0.51181102362204722" footer="0.51181102362204722"/>
  <pageSetup scale="74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7"/>
  <sheetViews>
    <sheetView workbookViewId="0">
      <selection activeCell="D29" sqref="D29"/>
    </sheetView>
  </sheetViews>
  <sheetFormatPr defaultColWidth="9.109375" defaultRowHeight="13.2" x14ac:dyDescent="0.25"/>
  <cols>
    <col min="1" max="1" width="71.6640625" style="102" customWidth="1"/>
    <col min="2" max="2" width="20" style="102" customWidth="1"/>
    <col min="3" max="3" width="19.88671875" style="93" customWidth="1"/>
    <col min="4" max="4" width="17.6640625" style="93" customWidth="1"/>
    <col min="5" max="5" width="19" style="41" customWidth="1"/>
    <col min="6" max="6" width="14.5546875" style="102" customWidth="1"/>
    <col min="7" max="7" width="12.109375" style="102" customWidth="1"/>
    <col min="8" max="8" width="9.109375" style="102"/>
    <col min="9" max="9" width="11.6640625" style="102" bestFit="1" customWidth="1"/>
    <col min="10" max="16384" width="9.109375" style="102"/>
  </cols>
  <sheetData>
    <row r="1" spans="1:23" x14ac:dyDescent="0.25">
      <c r="A1" s="102" t="s">
        <v>221</v>
      </c>
    </row>
    <row r="2" spans="1:23" x14ac:dyDescent="0.25">
      <c r="A2" s="102" t="s">
        <v>222</v>
      </c>
    </row>
    <row r="3" spans="1:23" x14ac:dyDescent="0.25">
      <c r="A3" s="102" t="s">
        <v>223</v>
      </c>
    </row>
    <row r="4" spans="1:23" x14ac:dyDescent="0.25">
      <c r="A4" s="102" t="s">
        <v>224</v>
      </c>
    </row>
    <row r="6" spans="1:23" s="1" customFormat="1" ht="31.95" customHeight="1" x14ac:dyDescent="0.3">
      <c r="A6" s="385" t="s">
        <v>358</v>
      </c>
      <c r="B6" s="385"/>
      <c r="C6" s="385"/>
      <c r="D6" s="385"/>
      <c r="E6" s="385"/>
      <c r="F6" s="385"/>
      <c r="G6" s="385"/>
    </row>
    <row r="7" spans="1:23" s="3" customFormat="1" ht="23.25" customHeight="1" x14ac:dyDescent="0.3">
      <c r="A7" s="385" t="s">
        <v>336</v>
      </c>
      <c r="B7" s="385"/>
      <c r="C7" s="385"/>
      <c r="D7" s="385"/>
      <c r="E7" s="385"/>
      <c r="F7" s="385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23" ht="23.25" customHeight="1" x14ac:dyDescent="0.25">
      <c r="A8" s="386" t="s">
        <v>372</v>
      </c>
      <c r="B8" s="387"/>
      <c r="C8" s="387"/>
      <c r="D8" s="387"/>
      <c r="E8" s="387"/>
      <c r="F8" s="387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  <row r="9" spans="1:23" x14ac:dyDescent="0.25">
      <c r="A9" s="388"/>
      <c r="B9" s="389"/>
      <c r="C9" s="389"/>
      <c r="D9" s="389"/>
      <c r="E9" s="389"/>
      <c r="F9" s="389"/>
    </row>
    <row r="10" spans="1:23" ht="13.8" thickBot="1" x14ac:dyDescent="0.3">
      <c r="A10" s="15"/>
    </row>
    <row r="11" spans="1:23" s="10" customFormat="1" ht="26.25" customHeight="1" thickTop="1" thickBot="1" x14ac:dyDescent="0.3">
      <c r="A11" s="11" t="s">
        <v>1</v>
      </c>
      <c r="B11" s="211" t="s">
        <v>373</v>
      </c>
      <c r="C11" s="285" t="s">
        <v>359</v>
      </c>
      <c r="D11" s="211" t="s">
        <v>360</v>
      </c>
      <c r="E11" s="211" t="s">
        <v>375</v>
      </c>
      <c r="F11" s="211" t="s">
        <v>349</v>
      </c>
      <c r="G11" s="13" t="s">
        <v>3</v>
      </c>
    </row>
    <row r="12" spans="1:23" s="98" customFormat="1" ht="18.75" customHeight="1" thickTop="1" thickBot="1" x14ac:dyDescent="0.3">
      <c r="A12" s="17"/>
      <c r="B12" s="18">
        <v>1</v>
      </c>
      <c r="C12" s="317">
        <v>2</v>
      </c>
      <c r="D12" s="317">
        <v>3</v>
      </c>
      <c r="E12" s="317">
        <v>4</v>
      </c>
      <c r="F12" s="18">
        <v>5</v>
      </c>
      <c r="G12" s="19" t="s">
        <v>9</v>
      </c>
    </row>
    <row r="13" spans="1:23" s="103" customFormat="1" ht="21" customHeight="1" x14ac:dyDescent="0.25">
      <c r="A13" s="243" t="s">
        <v>337</v>
      </c>
      <c r="B13" s="244">
        <f t="shared" ref="B13:E13" si="0">B14</f>
        <v>2118100.5499999998</v>
      </c>
      <c r="C13" s="244">
        <f t="shared" si="0"/>
        <v>2528080</v>
      </c>
      <c r="D13" s="244">
        <f t="shared" si="0"/>
        <v>2609550</v>
      </c>
      <c r="E13" s="244">
        <f t="shared" si="0"/>
        <v>2544173.19</v>
      </c>
      <c r="F13" s="245">
        <f>E13/B13*100</f>
        <v>120.11578912058731</v>
      </c>
      <c r="G13" s="246">
        <f>E13/D13*100</f>
        <v>97.494709432660798</v>
      </c>
    </row>
    <row r="14" spans="1:23" s="98" customFormat="1" ht="21" customHeight="1" x14ac:dyDescent="0.25">
      <c r="A14" s="247" t="s">
        <v>338</v>
      </c>
      <c r="B14" s="225">
        <f>B15+B16</f>
        <v>2118100.5499999998</v>
      </c>
      <c r="C14" s="381">
        <f t="shared" ref="C14:E14" si="1">C15+C16</f>
        <v>2528080</v>
      </c>
      <c r="D14" s="381">
        <f t="shared" si="1"/>
        <v>2609550</v>
      </c>
      <c r="E14" s="381">
        <f t="shared" si="1"/>
        <v>2544173.19</v>
      </c>
      <c r="F14" s="226">
        <f>E14/B14*100</f>
        <v>120.11578912058731</v>
      </c>
      <c r="G14" s="248">
        <f>E14/D14*100</f>
        <v>97.494709432660798</v>
      </c>
      <c r="I14" s="254"/>
    </row>
    <row r="15" spans="1:23" s="98" customFormat="1" ht="21" customHeight="1" x14ac:dyDescent="0.25">
      <c r="A15" s="346" t="s">
        <v>339</v>
      </c>
      <c r="B15" s="347">
        <v>1992912.95</v>
      </c>
      <c r="C15" s="347">
        <v>2385880</v>
      </c>
      <c r="D15" s="347">
        <v>2467350</v>
      </c>
      <c r="E15" s="347">
        <v>2410422.67</v>
      </c>
      <c r="F15" s="348">
        <f>E15/B15*100</f>
        <v>120.94972186316517</v>
      </c>
      <c r="G15" s="349">
        <f>E15/D15*100</f>
        <v>97.692774434109467</v>
      </c>
    </row>
    <row r="16" spans="1:23" s="98" customFormat="1" ht="21" customHeight="1" thickBot="1" x14ac:dyDescent="0.3">
      <c r="A16" s="343" t="s">
        <v>365</v>
      </c>
      <c r="B16" s="249">
        <v>125187.6</v>
      </c>
      <c r="C16" s="383">
        <v>142200</v>
      </c>
      <c r="D16" s="383">
        <v>142200</v>
      </c>
      <c r="E16" s="383">
        <v>133750.51999999999</v>
      </c>
      <c r="F16" s="344">
        <f>E16/B16*100</f>
        <v>106.84007042231019</v>
      </c>
      <c r="G16" s="345">
        <f>E16/D16*100</f>
        <v>94.058030942334739</v>
      </c>
    </row>
    <row r="17" ht="13.8" thickTop="1" x14ac:dyDescent="0.25"/>
    <row r="20" ht="12.75" customHeight="1" x14ac:dyDescent="0.25"/>
    <row r="25" ht="36.75" customHeight="1" x14ac:dyDescent="0.25"/>
    <row r="27" ht="28.5" customHeight="1" x14ac:dyDescent="0.25"/>
  </sheetData>
  <mergeCells count="4">
    <mergeCell ref="A6:G6"/>
    <mergeCell ref="A9:F9"/>
    <mergeCell ref="A7:F7"/>
    <mergeCell ref="A8:F8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5"/>
  <sheetViews>
    <sheetView workbookViewId="0">
      <selection activeCell="E11" sqref="E11"/>
    </sheetView>
  </sheetViews>
  <sheetFormatPr defaultColWidth="9.109375" defaultRowHeight="13.2" x14ac:dyDescent="0.25"/>
  <cols>
    <col min="1" max="1" width="71.6640625" style="289" customWidth="1"/>
    <col min="2" max="2" width="20" style="289" customWidth="1"/>
    <col min="3" max="3" width="19.88671875" style="289" customWidth="1"/>
    <col min="4" max="4" width="17.6640625" style="289" customWidth="1"/>
    <col min="5" max="5" width="19.33203125" style="289" customWidth="1"/>
    <col min="6" max="6" width="14.5546875" style="289" customWidth="1"/>
    <col min="7" max="7" width="12.109375" style="289" customWidth="1"/>
    <col min="8" max="8" width="9.109375" style="289"/>
    <col min="9" max="9" width="27.88671875" style="289" customWidth="1"/>
    <col min="10" max="16384" width="9.109375" style="289"/>
  </cols>
  <sheetData>
    <row r="1" spans="1:24" x14ac:dyDescent="0.25">
      <c r="A1" s="289" t="s">
        <v>221</v>
      </c>
    </row>
    <row r="2" spans="1:24" x14ac:dyDescent="0.25">
      <c r="A2" s="289" t="s">
        <v>222</v>
      </c>
    </row>
    <row r="3" spans="1:24" x14ac:dyDescent="0.25">
      <c r="A3" s="289" t="s">
        <v>223</v>
      </c>
    </row>
    <row r="4" spans="1:24" x14ac:dyDescent="0.25">
      <c r="A4" s="289" t="s">
        <v>224</v>
      </c>
    </row>
    <row r="6" spans="1:24" s="290" customFormat="1" ht="31.95" customHeight="1" x14ac:dyDescent="0.3">
      <c r="A6" s="486" t="s">
        <v>358</v>
      </c>
      <c r="B6" s="486"/>
      <c r="C6" s="486"/>
      <c r="D6" s="486"/>
      <c r="E6" s="486"/>
      <c r="F6" s="486"/>
      <c r="G6" s="486"/>
    </row>
    <row r="7" spans="1:24" s="290" customFormat="1" ht="23.25" customHeight="1" x14ac:dyDescent="0.3">
      <c r="A7" s="487" t="s">
        <v>350</v>
      </c>
      <c r="B7" s="487"/>
      <c r="C7" s="487"/>
      <c r="D7" s="487"/>
      <c r="E7" s="487"/>
      <c r="F7" s="487"/>
      <c r="G7" s="487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ht="23.25" customHeight="1" x14ac:dyDescent="0.25">
      <c r="A8" s="488" t="s">
        <v>372</v>
      </c>
      <c r="B8" s="488"/>
      <c r="C8" s="488"/>
      <c r="D8" s="488"/>
      <c r="E8" s="488"/>
      <c r="F8" s="488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</row>
    <row r="9" spans="1:24" x14ac:dyDescent="0.25">
      <c r="A9" s="489"/>
      <c r="B9" s="490"/>
      <c r="C9" s="490"/>
      <c r="D9" s="490"/>
      <c r="E9" s="490"/>
      <c r="F9" s="490"/>
    </row>
    <row r="10" spans="1:24" ht="13.8" thickBot="1" x14ac:dyDescent="0.3">
      <c r="A10" s="293"/>
    </row>
    <row r="11" spans="1:24" s="297" customFormat="1" ht="26.25" customHeight="1" thickTop="1" thickBot="1" x14ac:dyDescent="0.3">
      <c r="A11" s="294" t="s">
        <v>1</v>
      </c>
      <c r="B11" s="295" t="s">
        <v>373</v>
      </c>
      <c r="C11" s="295" t="s">
        <v>359</v>
      </c>
      <c r="D11" s="295" t="s">
        <v>360</v>
      </c>
      <c r="E11" s="295" t="s">
        <v>375</v>
      </c>
      <c r="F11" s="295" t="s">
        <v>2</v>
      </c>
      <c r="G11" s="296" t="s">
        <v>3</v>
      </c>
    </row>
    <row r="12" spans="1:24" s="301" customFormat="1" ht="18.75" customHeight="1" thickTop="1" thickBot="1" x14ac:dyDescent="0.3">
      <c r="A12" s="298"/>
      <c r="B12" s="299">
        <v>1</v>
      </c>
      <c r="C12" s="299">
        <v>2</v>
      </c>
      <c r="D12" s="299">
        <v>3</v>
      </c>
      <c r="E12" s="299">
        <v>4</v>
      </c>
      <c r="F12" s="299">
        <v>5</v>
      </c>
      <c r="G12" s="300" t="s">
        <v>9</v>
      </c>
    </row>
    <row r="13" spans="1:24" s="306" customFormat="1" ht="21" customHeight="1" x14ac:dyDescent="0.25">
      <c r="A13" s="302" t="s">
        <v>351</v>
      </c>
      <c r="B13" s="303"/>
      <c r="C13" s="303"/>
      <c r="D13" s="303"/>
      <c r="E13" s="303"/>
      <c r="F13" s="303"/>
      <c r="G13" s="304"/>
      <c r="H13" s="305"/>
      <c r="I13" s="305"/>
      <c r="J13" s="305"/>
      <c r="K13" s="305"/>
      <c r="L13" s="305"/>
    </row>
    <row r="14" spans="1:24" s="301" customFormat="1" ht="21" customHeight="1" thickBot="1" x14ac:dyDescent="0.3">
      <c r="A14" s="307" t="s">
        <v>352</v>
      </c>
      <c r="B14" s="308">
        <v>0</v>
      </c>
      <c r="C14" s="308">
        <v>0</v>
      </c>
      <c r="D14" s="308">
        <v>0</v>
      </c>
      <c r="E14" s="308">
        <v>0</v>
      </c>
      <c r="F14" s="308">
        <v>0</v>
      </c>
      <c r="G14" s="309">
        <v>0</v>
      </c>
      <c r="H14" s="305"/>
      <c r="I14" s="305"/>
      <c r="J14" s="305"/>
      <c r="K14" s="305"/>
      <c r="L14" s="305"/>
    </row>
    <row r="15" spans="1:24" ht="13.8" thickTop="1" x14ac:dyDescent="0.25"/>
    <row r="18" ht="12.75" customHeight="1" x14ac:dyDescent="0.25"/>
    <row r="23" ht="36.75" customHeight="1" x14ac:dyDescent="0.25"/>
    <row r="25" ht="28.5" customHeight="1" x14ac:dyDescent="0.25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25"/>
  <sheetViews>
    <sheetView workbookViewId="0">
      <selection activeCell="E12" sqref="E12"/>
    </sheetView>
  </sheetViews>
  <sheetFormatPr defaultColWidth="9.109375" defaultRowHeight="13.2" x14ac:dyDescent="0.25"/>
  <cols>
    <col min="1" max="1" width="71.6640625" style="289" customWidth="1"/>
    <col min="2" max="2" width="20" style="289" customWidth="1"/>
    <col min="3" max="3" width="19.88671875" style="289" customWidth="1"/>
    <col min="4" max="4" width="17.6640625" style="289" customWidth="1"/>
    <col min="5" max="5" width="19" style="289" customWidth="1"/>
    <col min="6" max="6" width="14.5546875" style="289" customWidth="1"/>
    <col min="7" max="7" width="12.109375" style="289" customWidth="1"/>
    <col min="8" max="8" width="9.109375" style="289"/>
    <col min="9" max="9" width="27.88671875" style="289" customWidth="1"/>
    <col min="10" max="16384" width="9.109375" style="289"/>
  </cols>
  <sheetData>
    <row r="1" spans="1:24" x14ac:dyDescent="0.25">
      <c r="A1" s="289" t="s">
        <v>221</v>
      </c>
    </row>
    <row r="2" spans="1:24" x14ac:dyDescent="0.25">
      <c r="A2" s="289" t="s">
        <v>222</v>
      </c>
    </row>
    <row r="3" spans="1:24" x14ac:dyDescent="0.25">
      <c r="A3" s="289" t="s">
        <v>223</v>
      </c>
    </row>
    <row r="4" spans="1:24" x14ac:dyDescent="0.25">
      <c r="A4" s="289" t="s">
        <v>224</v>
      </c>
    </row>
    <row r="6" spans="1:24" s="290" customFormat="1" ht="31.95" customHeight="1" x14ac:dyDescent="0.3">
      <c r="A6" s="486" t="s">
        <v>358</v>
      </c>
      <c r="B6" s="486"/>
      <c r="C6" s="486"/>
      <c r="D6" s="486"/>
      <c r="E6" s="486"/>
      <c r="F6" s="486"/>
      <c r="G6" s="486"/>
    </row>
    <row r="7" spans="1:24" s="290" customFormat="1" ht="23.25" customHeight="1" x14ac:dyDescent="0.3">
      <c r="A7" s="487" t="s">
        <v>353</v>
      </c>
      <c r="B7" s="487"/>
      <c r="C7" s="487"/>
      <c r="D7" s="487"/>
      <c r="E7" s="487"/>
      <c r="F7" s="487"/>
      <c r="G7" s="487"/>
      <c r="H7" s="291"/>
      <c r="I7" s="291"/>
      <c r="J7" s="291"/>
      <c r="K7" s="291"/>
      <c r="L7" s="291"/>
      <c r="M7" s="291"/>
      <c r="N7" s="291"/>
      <c r="O7" s="291"/>
      <c r="P7" s="291"/>
      <c r="Q7" s="291"/>
      <c r="R7" s="291"/>
      <c r="S7" s="291"/>
      <c r="T7" s="291"/>
      <c r="U7" s="291"/>
      <c r="V7" s="291"/>
      <c r="W7" s="291"/>
      <c r="X7" s="291"/>
    </row>
    <row r="8" spans="1:24" ht="23.25" customHeight="1" x14ac:dyDescent="0.25">
      <c r="A8" s="488" t="s">
        <v>372</v>
      </c>
      <c r="B8" s="488"/>
      <c r="C8" s="488"/>
      <c r="D8" s="488"/>
      <c r="E8" s="488"/>
      <c r="F8" s="488"/>
      <c r="G8" s="292"/>
      <c r="H8" s="292"/>
      <c r="I8" s="292"/>
      <c r="J8" s="292"/>
      <c r="K8" s="292"/>
      <c r="L8" s="292"/>
      <c r="M8" s="292"/>
      <c r="N8" s="292"/>
      <c r="O8" s="292"/>
      <c r="P8" s="292"/>
      <c r="Q8" s="292"/>
      <c r="R8" s="292"/>
      <c r="S8" s="292"/>
      <c r="T8" s="292"/>
      <c r="U8" s="292"/>
      <c r="V8" s="292"/>
      <c r="W8" s="292"/>
    </row>
    <row r="9" spans="1:24" x14ac:dyDescent="0.25">
      <c r="A9" s="489"/>
      <c r="B9" s="490"/>
      <c r="C9" s="490"/>
      <c r="D9" s="490"/>
      <c r="E9" s="490"/>
      <c r="F9" s="490"/>
    </row>
    <row r="10" spans="1:24" ht="13.8" thickBot="1" x14ac:dyDescent="0.3">
      <c r="A10" s="293"/>
    </row>
    <row r="11" spans="1:24" s="297" customFormat="1" ht="26.25" customHeight="1" thickTop="1" thickBot="1" x14ac:dyDescent="0.3">
      <c r="A11" s="294" t="s">
        <v>1</v>
      </c>
      <c r="B11" s="295" t="s">
        <v>373</v>
      </c>
      <c r="C11" s="295" t="s">
        <v>359</v>
      </c>
      <c r="D11" s="295" t="s">
        <v>360</v>
      </c>
      <c r="E11" s="295" t="s">
        <v>375</v>
      </c>
      <c r="F11" s="295" t="s">
        <v>2</v>
      </c>
      <c r="G11" s="296" t="s">
        <v>3</v>
      </c>
    </row>
    <row r="12" spans="1:24" s="301" customFormat="1" ht="18.75" customHeight="1" thickTop="1" thickBot="1" x14ac:dyDescent="0.3">
      <c r="A12" s="298"/>
      <c r="B12" s="299">
        <v>1</v>
      </c>
      <c r="C12" s="299">
        <v>2</v>
      </c>
      <c r="D12" s="299">
        <v>3</v>
      </c>
      <c r="E12" s="299">
        <v>4</v>
      </c>
      <c r="F12" s="299">
        <v>5</v>
      </c>
      <c r="G12" s="300" t="s">
        <v>9</v>
      </c>
    </row>
    <row r="13" spans="1:24" s="306" customFormat="1" ht="21" customHeight="1" x14ac:dyDescent="0.25">
      <c r="A13" s="302" t="s">
        <v>351</v>
      </c>
      <c r="B13" s="303"/>
      <c r="C13" s="303"/>
      <c r="D13" s="303"/>
      <c r="E13" s="303"/>
      <c r="F13" s="303"/>
      <c r="G13" s="304"/>
      <c r="H13" s="305"/>
      <c r="I13" s="305"/>
      <c r="J13" s="305"/>
      <c r="K13" s="305"/>
      <c r="L13" s="305"/>
    </row>
    <row r="14" spans="1:24" s="301" customFormat="1" ht="21" customHeight="1" thickBot="1" x14ac:dyDescent="0.3">
      <c r="A14" s="307" t="s">
        <v>354</v>
      </c>
      <c r="B14" s="308">
        <v>0</v>
      </c>
      <c r="C14" s="308">
        <v>0</v>
      </c>
      <c r="D14" s="308">
        <v>0</v>
      </c>
      <c r="E14" s="308">
        <v>0</v>
      </c>
      <c r="F14" s="308">
        <v>0</v>
      </c>
      <c r="G14" s="309">
        <v>0</v>
      </c>
      <c r="H14" s="305"/>
      <c r="I14" s="305"/>
      <c r="J14" s="305"/>
      <c r="K14" s="305"/>
      <c r="L14" s="305"/>
    </row>
    <row r="15" spans="1:24" ht="13.8" thickTop="1" x14ac:dyDescent="0.25"/>
    <row r="18" ht="12.75" customHeight="1" x14ac:dyDescent="0.25"/>
    <row r="23" ht="36.75" customHeight="1" x14ac:dyDescent="0.25"/>
    <row r="25" ht="28.5" customHeight="1" x14ac:dyDescent="0.25"/>
  </sheetData>
  <mergeCells count="4">
    <mergeCell ref="A6:G6"/>
    <mergeCell ref="A7:G7"/>
    <mergeCell ref="A8:F8"/>
    <mergeCell ref="A9:F9"/>
  </mergeCells>
  <pageMargins left="0.74803149606299213" right="0.74803149606299213" top="0.78740157480314965" bottom="0.78740157480314965" header="0.51181102362204722" footer="0.51181102362204722"/>
  <pageSetup scale="70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W458"/>
  <sheetViews>
    <sheetView topLeftCell="A247" zoomScaleNormal="100" zoomScaleSheetLayoutView="100" workbookViewId="0">
      <selection activeCell="C432" sqref="C432"/>
    </sheetView>
  </sheetViews>
  <sheetFormatPr defaultRowHeight="13.2" x14ac:dyDescent="0.25"/>
  <cols>
    <col min="1" max="1" width="11" style="96" customWidth="1"/>
    <col min="2" max="2" width="86.6640625" customWidth="1"/>
    <col min="3" max="3" width="21.6640625" style="93" customWidth="1"/>
    <col min="4" max="4" width="19.5546875" style="93" customWidth="1"/>
    <col min="5" max="5" width="19.33203125" style="93" customWidth="1"/>
    <col min="6" max="6" width="15.33203125" style="210" customWidth="1"/>
  </cols>
  <sheetData>
    <row r="1" spans="1:23" s="97" customFormat="1" x14ac:dyDescent="0.25">
      <c r="A1" s="158" t="s">
        <v>221</v>
      </c>
      <c r="C1" s="93"/>
      <c r="D1" s="93"/>
      <c r="E1" s="93"/>
      <c r="F1" s="184"/>
    </row>
    <row r="2" spans="1:23" s="97" customFormat="1" x14ac:dyDescent="0.25">
      <c r="A2" s="158" t="s">
        <v>222</v>
      </c>
      <c r="C2" s="93"/>
      <c r="D2" s="93"/>
      <c r="E2" s="93"/>
      <c r="F2" s="184"/>
    </row>
    <row r="3" spans="1:23" s="97" customFormat="1" x14ac:dyDescent="0.25">
      <c r="A3" s="158" t="s">
        <v>223</v>
      </c>
      <c r="C3" s="93"/>
      <c r="D3" s="93"/>
      <c r="E3" s="93"/>
      <c r="F3" s="184"/>
    </row>
    <row r="4" spans="1:23" s="97" customFormat="1" x14ac:dyDescent="0.25">
      <c r="A4" s="158" t="s">
        <v>224</v>
      </c>
      <c r="C4" s="93"/>
      <c r="D4" s="93"/>
      <c r="E4" s="93"/>
      <c r="F4" s="184"/>
    </row>
    <row r="5" spans="1:23" s="97" customFormat="1" x14ac:dyDescent="0.25">
      <c r="A5" s="390"/>
      <c r="B5" s="390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</row>
    <row r="6" spans="1:23" s="1" customFormat="1" ht="23.25" customHeight="1" x14ac:dyDescent="0.3">
      <c r="A6" s="385" t="s">
        <v>358</v>
      </c>
      <c r="B6" s="385"/>
      <c r="C6" s="385"/>
      <c r="D6" s="385"/>
      <c r="E6" s="385"/>
      <c r="F6" s="385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</row>
    <row r="7" spans="1:23" s="3" customFormat="1" ht="23.25" customHeight="1" x14ac:dyDescent="0.3">
      <c r="A7" s="385" t="s">
        <v>255</v>
      </c>
      <c r="B7" s="385"/>
      <c r="C7" s="385"/>
      <c r="D7" s="385"/>
      <c r="E7" s="385"/>
      <c r="F7" s="385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</row>
    <row r="8" spans="1:23" s="97" customFormat="1" ht="23.25" customHeight="1" x14ac:dyDescent="0.25">
      <c r="A8" s="488" t="s">
        <v>372</v>
      </c>
      <c r="B8" s="488"/>
      <c r="C8" s="488"/>
      <c r="D8" s="488"/>
      <c r="E8" s="488"/>
      <c r="F8" s="488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</row>
    <row r="9" spans="1:23" s="97" customFormat="1" x14ac:dyDescent="0.25">
      <c r="A9" s="388" t="s">
        <v>256</v>
      </c>
      <c r="B9" s="388"/>
      <c r="C9" s="388"/>
      <c r="D9" s="388"/>
      <c r="E9" s="388"/>
      <c r="F9" s="388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</row>
    <row r="10" spans="1:23" s="97" customFormat="1" x14ac:dyDescent="0.25">
      <c r="A10" s="94"/>
      <c r="B10" s="110"/>
      <c r="C10" s="310"/>
      <c r="D10" s="310"/>
      <c r="E10" s="310"/>
      <c r="F10" s="185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</row>
    <row r="11" spans="1:23" s="97" customFormat="1" x14ac:dyDescent="0.25">
      <c r="A11" s="388" t="s">
        <v>257</v>
      </c>
      <c r="B11" s="388"/>
      <c r="C11" s="388"/>
      <c r="D11" s="388"/>
      <c r="E11" s="388"/>
      <c r="F11" s="388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</row>
    <row r="12" spans="1:23" s="97" customFormat="1" x14ac:dyDescent="0.25">
      <c r="A12" s="94"/>
      <c r="B12" s="94"/>
      <c r="C12" s="311"/>
      <c r="D12" s="311"/>
      <c r="E12" s="311"/>
      <c r="F12" s="186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</row>
    <row r="13" spans="1:23" s="102" customFormat="1" x14ac:dyDescent="0.25">
      <c r="A13" s="111" t="s">
        <v>318</v>
      </c>
      <c r="B13" s="286"/>
      <c r="C13" s="311"/>
      <c r="D13" s="311"/>
      <c r="E13" s="311"/>
      <c r="F13" s="186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</row>
    <row r="14" spans="1:23" s="102" customFormat="1" ht="13.8" thickBot="1" x14ac:dyDescent="0.3">
      <c r="A14" s="390"/>
      <c r="B14" s="390"/>
      <c r="C14" s="390"/>
      <c r="D14" s="390"/>
      <c r="E14" s="390"/>
      <c r="F14" s="390"/>
    </row>
    <row r="15" spans="1:23" s="102" customFormat="1" ht="40.799999999999997" thickTop="1" thickBot="1" x14ac:dyDescent="0.3">
      <c r="A15" s="117" t="s">
        <v>258</v>
      </c>
      <c r="B15" s="118" t="s">
        <v>259</v>
      </c>
      <c r="C15" s="118" t="s">
        <v>359</v>
      </c>
      <c r="D15" s="118" t="s">
        <v>360</v>
      </c>
      <c r="E15" s="118" t="s">
        <v>374</v>
      </c>
      <c r="F15" s="187" t="s">
        <v>260</v>
      </c>
    </row>
    <row r="16" spans="1:23" s="102" customFormat="1" ht="14.4" thickTop="1" thickBot="1" x14ac:dyDescent="0.3">
      <c r="A16" s="491">
        <v>1</v>
      </c>
      <c r="B16" s="492"/>
      <c r="C16" s="118">
        <v>2</v>
      </c>
      <c r="D16" s="118">
        <v>3</v>
      </c>
      <c r="E16" s="118">
        <v>4</v>
      </c>
      <c r="F16" s="187" t="s">
        <v>261</v>
      </c>
    </row>
    <row r="17" spans="1:23" s="102" customFormat="1" ht="13.8" thickTop="1" x14ac:dyDescent="0.25">
      <c r="A17" s="133">
        <v>67</v>
      </c>
      <c r="B17" s="134" t="s">
        <v>280</v>
      </c>
      <c r="C17" s="364">
        <f>C18</f>
        <v>122760</v>
      </c>
      <c r="D17" s="364">
        <f>D18</f>
        <v>122760</v>
      </c>
      <c r="E17" s="364">
        <f>E18</f>
        <v>104083.27</v>
      </c>
      <c r="F17" s="188">
        <f>E17/D17*100</f>
        <v>84.78598077549691</v>
      </c>
    </row>
    <row r="18" spans="1:23" s="102" customFormat="1" x14ac:dyDescent="0.25">
      <c r="A18" s="131">
        <v>671</v>
      </c>
      <c r="B18" s="132" t="s">
        <v>281</v>
      </c>
      <c r="C18" s="320">
        <f>C19+C20</f>
        <v>122760</v>
      </c>
      <c r="D18" s="320">
        <f>D19+D20</f>
        <v>122760</v>
      </c>
      <c r="E18" s="320">
        <f>E19+E20</f>
        <v>104083.27</v>
      </c>
      <c r="F18" s="189"/>
    </row>
    <row r="19" spans="1:23" s="102" customFormat="1" x14ac:dyDescent="0.25">
      <c r="A19" s="121">
        <v>6711</v>
      </c>
      <c r="B19" s="114" t="s">
        <v>282</v>
      </c>
      <c r="C19" s="321">
        <f>110960</f>
        <v>110960</v>
      </c>
      <c r="D19" s="321">
        <v>115038</v>
      </c>
      <c r="E19" s="321">
        <v>93350.77</v>
      </c>
      <c r="F19" s="190"/>
      <c r="G19" s="229"/>
    </row>
    <row r="20" spans="1:23" s="102" customFormat="1" ht="13.8" thickBot="1" x14ac:dyDescent="0.3">
      <c r="A20" s="128">
        <v>6712</v>
      </c>
      <c r="B20" s="129" t="s">
        <v>283</v>
      </c>
      <c r="C20" s="54">
        <f>10500+1300</f>
        <v>11800</v>
      </c>
      <c r="D20" s="54">
        <v>7722</v>
      </c>
      <c r="E20" s="54">
        <v>10732.5</v>
      </c>
      <c r="F20" s="191"/>
      <c r="G20" s="229"/>
    </row>
    <row r="21" spans="1:23" s="287" customFormat="1" ht="16.5" customHeight="1" thickBot="1" x14ac:dyDescent="0.3">
      <c r="A21" s="493" t="s">
        <v>286</v>
      </c>
      <c r="B21" s="494"/>
      <c r="C21" s="365">
        <f>C17</f>
        <v>122760</v>
      </c>
      <c r="D21" s="365">
        <f>D17</f>
        <v>122760</v>
      </c>
      <c r="E21" s="365">
        <f>E17</f>
        <v>104083.27</v>
      </c>
      <c r="F21" s="192">
        <f>E21/D21*100</f>
        <v>84.78598077549691</v>
      </c>
      <c r="G21" s="230"/>
    </row>
    <row r="22" spans="1:23" s="287" customFormat="1" ht="16.5" customHeight="1" thickTop="1" x14ac:dyDescent="0.25">
      <c r="A22" s="288"/>
      <c r="B22" s="288"/>
      <c r="C22" s="313"/>
      <c r="D22" s="313"/>
      <c r="E22" s="313"/>
      <c r="F22" s="196"/>
      <c r="G22" s="230"/>
    </row>
    <row r="23" spans="1:23" s="97" customFormat="1" x14ac:dyDescent="0.25">
      <c r="A23" s="111" t="s">
        <v>355</v>
      </c>
      <c r="B23" s="94"/>
      <c r="C23" s="311"/>
      <c r="D23" s="311"/>
      <c r="E23" s="311"/>
      <c r="F23" s="186"/>
      <c r="G23" s="110"/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</row>
    <row r="24" spans="1:23" ht="13.8" thickBot="1" x14ac:dyDescent="0.3">
      <c r="A24" s="390"/>
      <c r="B24" s="390"/>
      <c r="C24" s="390"/>
      <c r="D24" s="390"/>
      <c r="E24" s="390"/>
      <c r="F24" s="390"/>
    </row>
    <row r="25" spans="1:23" ht="40.799999999999997" thickTop="1" thickBot="1" x14ac:dyDescent="0.3">
      <c r="A25" s="117" t="s">
        <v>258</v>
      </c>
      <c r="B25" s="118" t="s">
        <v>259</v>
      </c>
      <c r="C25" s="118" t="s">
        <v>359</v>
      </c>
      <c r="D25" s="118" t="s">
        <v>360</v>
      </c>
      <c r="E25" s="118" t="s">
        <v>374</v>
      </c>
      <c r="F25" s="187" t="s">
        <v>260</v>
      </c>
    </row>
    <row r="26" spans="1:23" s="97" customFormat="1" ht="14.4" thickTop="1" thickBot="1" x14ac:dyDescent="0.3">
      <c r="A26" s="491">
        <v>1</v>
      </c>
      <c r="B26" s="492"/>
      <c r="C26" s="118">
        <v>2</v>
      </c>
      <c r="D26" s="118">
        <v>3</v>
      </c>
      <c r="E26" s="118">
        <v>4</v>
      </c>
      <c r="F26" s="187" t="s">
        <v>261</v>
      </c>
    </row>
    <row r="27" spans="1:23" s="97" customFormat="1" ht="13.8" thickTop="1" x14ac:dyDescent="0.25">
      <c r="A27" s="133">
        <v>67</v>
      </c>
      <c r="B27" s="134" t="s">
        <v>280</v>
      </c>
      <c r="C27" s="364">
        <f t="shared" ref="C27:E28" si="0">C28</f>
        <v>135500</v>
      </c>
      <c r="D27" s="364">
        <f t="shared" si="0"/>
        <v>146920</v>
      </c>
      <c r="E27" s="364">
        <f t="shared" si="0"/>
        <v>137637.65</v>
      </c>
      <c r="F27" s="188">
        <f>E27/D27*100</f>
        <v>93.682037843724473</v>
      </c>
    </row>
    <row r="28" spans="1:23" s="97" customFormat="1" x14ac:dyDescent="0.25">
      <c r="A28" s="131">
        <v>671</v>
      </c>
      <c r="B28" s="132" t="s">
        <v>281</v>
      </c>
      <c r="C28" s="320">
        <f t="shared" si="0"/>
        <v>135500</v>
      </c>
      <c r="D28" s="320">
        <f t="shared" si="0"/>
        <v>146920</v>
      </c>
      <c r="E28" s="320">
        <f t="shared" si="0"/>
        <v>137637.65</v>
      </c>
      <c r="F28" s="189"/>
    </row>
    <row r="29" spans="1:23" s="97" customFormat="1" ht="13.8" thickBot="1" x14ac:dyDescent="0.3">
      <c r="A29" s="121">
        <v>6711</v>
      </c>
      <c r="B29" s="114" t="s">
        <v>282</v>
      </c>
      <c r="C29" s="321">
        <f>128000+7500</f>
        <v>135500</v>
      </c>
      <c r="D29" s="321">
        <f>139420+7500</f>
        <v>146920</v>
      </c>
      <c r="E29" s="321">
        <v>137637.65</v>
      </c>
      <c r="F29" s="190"/>
      <c r="G29" s="229"/>
    </row>
    <row r="30" spans="1:23" s="95" customFormat="1" ht="16.5" customHeight="1" thickBot="1" x14ac:dyDescent="0.3">
      <c r="A30" s="493" t="s">
        <v>286</v>
      </c>
      <c r="B30" s="494"/>
      <c r="C30" s="365">
        <f>C27</f>
        <v>135500</v>
      </c>
      <c r="D30" s="365">
        <f>D27</f>
        <v>146920</v>
      </c>
      <c r="E30" s="365">
        <f>E27</f>
        <v>137637.65</v>
      </c>
      <c r="F30" s="192">
        <f>E30/D30*100</f>
        <v>93.682037843724473</v>
      </c>
      <c r="G30" s="230"/>
    </row>
    <row r="31" spans="1:23" s="97" customFormat="1" ht="16.5" customHeight="1" thickTop="1" x14ac:dyDescent="0.25">
      <c r="A31" s="143"/>
      <c r="B31" s="144"/>
      <c r="C31" s="312"/>
      <c r="D31" s="312"/>
      <c r="E31" s="312"/>
      <c r="F31" s="193"/>
      <c r="G31" s="229"/>
    </row>
    <row r="32" spans="1:23" s="97" customFormat="1" x14ac:dyDescent="0.25">
      <c r="A32" s="111" t="s">
        <v>319</v>
      </c>
      <c r="B32" s="94"/>
      <c r="C32" s="311"/>
      <c r="D32" s="311"/>
      <c r="E32" s="311"/>
      <c r="F32" s="186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</row>
    <row r="33" spans="1:23" s="97" customFormat="1" ht="13.8" thickBot="1" x14ac:dyDescent="0.3">
      <c r="A33" s="390"/>
      <c r="B33" s="390"/>
      <c r="C33" s="390"/>
      <c r="D33" s="390"/>
      <c r="E33" s="390"/>
      <c r="F33" s="390"/>
    </row>
    <row r="34" spans="1:23" s="97" customFormat="1" ht="40.799999999999997" thickTop="1" thickBot="1" x14ac:dyDescent="0.3">
      <c r="A34" s="117" t="s">
        <v>258</v>
      </c>
      <c r="B34" s="118" t="s">
        <v>259</v>
      </c>
      <c r="C34" s="118" t="s">
        <v>359</v>
      </c>
      <c r="D34" s="118" t="s">
        <v>360</v>
      </c>
      <c r="E34" s="118" t="s">
        <v>374</v>
      </c>
      <c r="F34" s="187" t="s">
        <v>260</v>
      </c>
    </row>
    <row r="35" spans="1:23" s="97" customFormat="1" ht="14.4" thickTop="1" thickBot="1" x14ac:dyDescent="0.3">
      <c r="A35" s="491">
        <v>1</v>
      </c>
      <c r="B35" s="492"/>
      <c r="C35" s="118">
        <v>2</v>
      </c>
      <c r="D35" s="118">
        <v>3</v>
      </c>
      <c r="E35" s="118">
        <v>4</v>
      </c>
      <c r="F35" s="187" t="s">
        <v>261</v>
      </c>
    </row>
    <row r="36" spans="1:23" s="97" customFormat="1" ht="13.8" thickTop="1" x14ac:dyDescent="0.25">
      <c r="A36" s="133">
        <v>66</v>
      </c>
      <c r="B36" s="135" t="s">
        <v>276</v>
      </c>
      <c r="C36" s="364">
        <f t="shared" ref="C36:E37" si="1">C37</f>
        <v>22700</v>
      </c>
      <c r="D36" s="364">
        <f t="shared" si="1"/>
        <v>22700</v>
      </c>
      <c r="E36" s="364">
        <f t="shared" si="1"/>
        <v>13734</v>
      </c>
      <c r="F36" s="194">
        <f t="shared" ref="F36:F42" si="2">E36/D36*100</f>
        <v>60.502202643171813</v>
      </c>
    </row>
    <row r="37" spans="1:23" s="97" customFormat="1" x14ac:dyDescent="0.25">
      <c r="A37" s="131">
        <v>661</v>
      </c>
      <c r="B37" s="126" t="s">
        <v>277</v>
      </c>
      <c r="C37" s="320">
        <f t="shared" si="1"/>
        <v>22700</v>
      </c>
      <c r="D37" s="320">
        <f t="shared" si="1"/>
        <v>22700</v>
      </c>
      <c r="E37" s="320">
        <f t="shared" si="1"/>
        <v>13734</v>
      </c>
      <c r="F37" s="195"/>
    </row>
    <row r="38" spans="1:23" s="97" customFormat="1" x14ac:dyDescent="0.25">
      <c r="A38" s="233">
        <v>6615</v>
      </c>
      <c r="B38" s="234" t="s">
        <v>278</v>
      </c>
      <c r="C38" s="324">
        <v>22700</v>
      </c>
      <c r="D38" s="324">
        <v>22700</v>
      </c>
      <c r="E38" s="324">
        <v>13734</v>
      </c>
      <c r="F38" s="235"/>
    </row>
    <row r="39" spans="1:23" s="102" customFormat="1" x14ac:dyDescent="0.25">
      <c r="A39" s="231">
        <v>72</v>
      </c>
      <c r="B39" s="232" t="s">
        <v>315</v>
      </c>
      <c r="C39" s="367">
        <f t="shared" ref="C39:F40" si="3">C40</f>
        <v>0</v>
      </c>
      <c r="D39" s="367">
        <f t="shared" si="3"/>
        <v>0</v>
      </c>
      <c r="E39" s="367">
        <f t="shared" si="3"/>
        <v>0</v>
      </c>
      <c r="F39" s="242">
        <f t="shared" si="3"/>
        <v>0</v>
      </c>
      <c r="G39" s="240"/>
    </row>
    <row r="40" spans="1:23" s="102" customFormat="1" x14ac:dyDescent="0.25">
      <c r="A40" s="227">
        <v>722</v>
      </c>
      <c r="B40" s="213" t="s">
        <v>316</v>
      </c>
      <c r="C40" s="320">
        <f t="shared" si="3"/>
        <v>0</v>
      </c>
      <c r="D40" s="320">
        <f t="shared" si="3"/>
        <v>0</v>
      </c>
      <c r="E40" s="320">
        <f t="shared" si="3"/>
        <v>0</v>
      </c>
      <c r="F40" s="71"/>
      <c r="G40" s="240"/>
    </row>
    <row r="41" spans="1:23" s="102" customFormat="1" ht="13.8" thickBot="1" x14ac:dyDescent="0.3">
      <c r="A41" s="228">
        <v>7227</v>
      </c>
      <c r="B41" s="214" t="s">
        <v>317</v>
      </c>
      <c r="C41" s="326">
        <v>0</v>
      </c>
      <c r="D41" s="326">
        <v>0</v>
      </c>
      <c r="E41" s="326">
        <v>0</v>
      </c>
      <c r="F41" s="216"/>
      <c r="G41" s="241"/>
    </row>
    <row r="42" spans="1:23" s="95" customFormat="1" ht="16.5" customHeight="1" thickBot="1" x14ac:dyDescent="0.3">
      <c r="A42" s="493" t="s">
        <v>287</v>
      </c>
      <c r="B42" s="494"/>
      <c r="C42" s="365">
        <f>C36+C39</f>
        <v>22700</v>
      </c>
      <c r="D42" s="365">
        <f>D36+D39</f>
        <v>22700</v>
      </c>
      <c r="E42" s="365">
        <f>E36+E39</f>
        <v>13734</v>
      </c>
      <c r="F42" s="192">
        <f t="shared" si="2"/>
        <v>60.502202643171813</v>
      </c>
    </row>
    <row r="43" spans="1:23" s="95" customFormat="1" ht="16.5" customHeight="1" thickTop="1" x14ac:dyDescent="0.25">
      <c r="A43" s="130"/>
      <c r="B43" s="130"/>
      <c r="C43" s="313"/>
      <c r="D43" s="313"/>
      <c r="E43" s="313"/>
      <c r="F43" s="196"/>
    </row>
    <row r="44" spans="1:23" s="97" customFormat="1" x14ac:dyDescent="0.25">
      <c r="A44" s="111" t="s">
        <v>320</v>
      </c>
      <c r="B44" s="94"/>
      <c r="C44" s="311"/>
      <c r="D44" s="311"/>
      <c r="E44" s="311"/>
      <c r="F44" s="186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</row>
    <row r="45" spans="1:23" s="97" customFormat="1" ht="13.8" thickBot="1" x14ac:dyDescent="0.3">
      <c r="A45" s="390"/>
      <c r="B45" s="390"/>
      <c r="C45" s="390"/>
      <c r="D45" s="390"/>
      <c r="E45" s="390"/>
      <c r="F45" s="390"/>
    </row>
    <row r="46" spans="1:23" s="97" customFormat="1" ht="40.799999999999997" thickTop="1" thickBot="1" x14ac:dyDescent="0.3">
      <c r="A46" s="117" t="s">
        <v>258</v>
      </c>
      <c r="B46" s="118" t="s">
        <v>259</v>
      </c>
      <c r="C46" s="118" t="s">
        <v>359</v>
      </c>
      <c r="D46" s="118" t="s">
        <v>360</v>
      </c>
      <c r="E46" s="118" t="s">
        <v>374</v>
      </c>
      <c r="F46" s="187" t="s">
        <v>260</v>
      </c>
    </row>
    <row r="47" spans="1:23" s="97" customFormat="1" ht="14.4" thickTop="1" thickBot="1" x14ac:dyDescent="0.3">
      <c r="A47" s="491">
        <v>1</v>
      </c>
      <c r="B47" s="492"/>
      <c r="C47" s="118">
        <v>2</v>
      </c>
      <c r="D47" s="118">
        <v>3</v>
      </c>
      <c r="E47" s="118">
        <v>4</v>
      </c>
      <c r="F47" s="187" t="s">
        <v>261</v>
      </c>
    </row>
    <row r="48" spans="1:23" s="97" customFormat="1" ht="13.8" thickTop="1" x14ac:dyDescent="0.25">
      <c r="A48" s="136">
        <v>64</v>
      </c>
      <c r="B48" s="135" t="s">
        <v>270</v>
      </c>
      <c r="C48" s="364">
        <f t="shared" ref="C48:E49" si="4">C49</f>
        <v>30</v>
      </c>
      <c r="D48" s="364">
        <f t="shared" si="4"/>
        <v>30</v>
      </c>
      <c r="E48" s="364">
        <f t="shared" si="4"/>
        <v>0</v>
      </c>
      <c r="F48" s="194">
        <f t="shared" ref="F48:F57" si="5">E48/D48*100</f>
        <v>0</v>
      </c>
    </row>
    <row r="49" spans="1:23" s="97" customFormat="1" x14ac:dyDescent="0.25">
      <c r="A49" s="119">
        <v>641</v>
      </c>
      <c r="B49" s="126" t="s">
        <v>271</v>
      </c>
      <c r="C49" s="320">
        <f t="shared" si="4"/>
        <v>30</v>
      </c>
      <c r="D49" s="320">
        <f t="shared" si="4"/>
        <v>30</v>
      </c>
      <c r="E49" s="320">
        <f t="shared" si="4"/>
        <v>0</v>
      </c>
      <c r="F49" s="195"/>
    </row>
    <row r="50" spans="1:23" s="97" customFormat="1" x14ac:dyDescent="0.25">
      <c r="A50" s="128">
        <v>6413</v>
      </c>
      <c r="B50" s="137" t="s">
        <v>272</v>
      </c>
      <c r="C50" s="54">
        <v>30</v>
      </c>
      <c r="D50" s="54">
        <v>30</v>
      </c>
      <c r="E50" s="54">
        <v>0</v>
      </c>
      <c r="F50" s="191"/>
    </row>
    <row r="51" spans="1:23" s="97" customFormat="1" ht="12.75" customHeight="1" x14ac:dyDescent="0.25">
      <c r="A51" s="138">
        <v>65</v>
      </c>
      <c r="B51" s="139" t="s">
        <v>273</v>
      </c>
      <c r="C51" s="323">
        <f t="shared" ref="C51:E52" si="6">C52</f>
        <v>55600</v>
      </c>
      <c r="D51" s="323">
        <f t="shared" si="6"/>
        <v>55600</v>
      </c>
      <c r="E51" s="323">
        <f t="shared" si="6"/>
        <v>50746.82</v>
      </c>
      <c r="F51" s="197">
        <f t="shared" si="5"/>
        <v>91.271258992805755</v>
      </c>
    </row>
    <row r="52" spans="1:23" s="97" customFormat="1" x14ac:dyDescent="0.25">
      <c r="A52" s="119">
        <v>652</v>
      </c>
      <c r="B52" s="126" t="s">
        <v>274</v>
      </c>
      <c r="C52" s="320">
        <f t="shared" si="6"/>
        <v>55600</v>
      </c>
      <c r="D52" s="320">
        <f t="shared" si="6"/>
        <v>55600</v>
      </c>
      <c r="E52" s="320">
        <f t="shared" si="6"/>
        <v>50746.82</v>
      </c>
      <c r="F52" s="195"/>
    </row>
    <row r="53" spans="1:23" s="97" customFormat="1" x14ac:dyDescent="0.25">
      <c r="A53" s="140">
        <v>6526</v>
      </c>
      <c r="B53" s="137" t="s">
        <v>275</v>
      </c>
      <c r="C53" s="54">
        <v>55600</v>
      </c>
      <c r="D53" s="54">
        <v>55600</v>
      </c>
      <c r="E53" s="54">
        <v>50746.82</v>
      </c>
      <c r="F53" s="191"/>
    </row>
    <row r="54" spans="1:23" s="97" customFormat="1" x14ac:dyDescent="0.25">
      <c r="A54" s="141">
        <v>68</v>
      </c>
      <c r="B54" s="142" t="s">
        <v>284</v>
      </c>
      <c r="C54" s="323">
        <f t="shared" ref="C54:E55" si="7">C55</f>
        <v>500</v>
      </c>
      <c r="D54" s="323">
        <f t="shared" si="7"/>
        <v>500</v>
      </c>
      <c r="E54" s="323">
        <f t="shared" si="7"/>
        <v>367.41</v>
      </c>
      <c r="F54" s="197">
        <f t="shared" si="5"/>
        <v>73.481999999999999</v>
      </c>
    </row>
    <row r="55" spans="1:23" s="97" customFormat="1" x14ac:dyDescent="0.25">
      <c r="A55" s="119">
        <v>683</v>
      </c>
      <c r="B55" s="126" t="s">
        <v>285</v>
      </c>
      <c r="C55" s="320">
        <f t="shared" si="7"/>
        <v>500</v>
      </c>
      <c r="D55" s="320">
        <f t="shared" si="7"/>
        <v>500</v>
      </c>
      <c r="E55" s="320">
        <f t="shared" si="7"/>
        <v>367.41</v>
      </c>
      <c r="F55" s="195"/>
    </row>
    <row r="56" spans="1:23" s="97" customFormat="1" ht="13.8" thickBot="1" x14ac:dyDescent="0.3">
      <c r="A56" s="122">
        <v>6831</v>
      </c>
      <c r="B56" s="112" t="s">
        <v>285</v>
      </c>
      <c r="C56" s="321">
        <v>500</v>
      </c>
      <c r="D56" s="321">
        <v>500</v>
      </c>
      <c r="E56" s="321">
        <v>367.41</v>
      </c>
      <c r="F56" s="190"/>
    </row>
    <row r="57" spans="1:23" s="95" customFormat="1" ht="16.5" customHeight="1" thickBot="1" x14ac:dyDescent="0.3">
      <c r="A57" s="493" t="s">
        <v>288</v>
      </c>
      <c r="B57" s="494"/>
      <c r="C57" s="365">
        <f>C48+C51+C54</f>
        <v>56130</v>
      </c>
      <c r="D57" s="365">
        <f>D48+D51+D54</f>
        <v>56130</v>
      </c>
      <c r="E57" s="365">
        <f>E48+E51+E54</f>
        <v>51114.23</v>
      </c>
      <c r="F57" s="192">
        <f t="shared" si="5"/>
        <v>91.064012114733657</v>
      </c>
    </row>
    <row r="58" spans="1:23" s="95" customFormat="1" ht="16.5" customHeight="1" thickTop="1" x14ac:dyDescent="0.25">
      <c r="A58" s="130"/>
      <c r="B58" s="130"/>
      <c r="C58" s="313"/>
      <c r="D58" s="313"/>
      <c r="E58" s="313"/>
      <c r="F58" s="196"/>
    </row>
    <row r="59" spans="1:23" s="97" customFormat="1" x14ac:dyDescent="0.25">
      <c r="A59" s="111" t="s">
        <v>321</v>
      </c>
      <c r="B59" s="94"/>
      <c r="C59" s="311"/>
      <c r="D59" s="311"/>
      <c r="E59" s="311"/>
      <c r="F59" s="186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</row>
    <row r="60" spans="1:23" s="97" customFormat="1" ht="13.8" thickBot="1" x14ac:dyDescent="0.3">
      <c r="A60" s="390"/>
      <c r="B60" s="390"/>
      <c r="C60" s="390"/>
      <c r="D60" s="390"/>
      <c r="E60" s="390"/>
      <c r="F60" s="390"/>
    </row>
    <row r="61" spans="1:23" s="97" customFormat="1" ht="40.799999999999997" thickTop="1" thickBot="1" x14ac:dyDescent="0.3">
      <c r="A61" s="117" t="s">
        <v>258</v>
      </c>
      <c r="B61" s="118" t="s">
        <v>259</v>
      </c>
      <c r="C61" s="118" t="s">
        <v>359</v>
      </c>
      <c r="D61" s="118" t="s">
        <v>360</v>
      </c>
      <c r="E61" s="118" t="s">
        <v>374</v>
      </c>
      <c r="F61" s="187" t="s">
        <v>260</v>
      </c>
    </row>
    <row r="62" spans="1:23" s="97" customFormat="1" ht="14.4" thickTop="1" thickBot="1" x14ac:dyDescent="0.3">
      <c r="A62" s="491">
        <v>1</v>
      </c>
      <c r="B62" s="492"/>
      <c r="C62" s="118">
        <v>2</v>
      </c>
      <c r="D62" s="118">
        <v>3</v>
      </c>
      <c r="E62" s="118">
        <v>4</v>
      </c>
      <c r="F62" s="187" t="s">
        <v>261</v>
      </c>
    </row>
    <row r="63" spans="1:23" s="97" customFormat="1" ht="13.8" thickTop="1" x14ac:dyDescent="0.25">
      <c r="A63" s="136">
        <v>63</v>
      </c>
      <c r="B63" s="135" t="s">
        <v>262</v>
      </c>
      <c r="C63" s="364">
        <f>C64+C67+C69+C72</f>
        <v>2133022</v>
      </c>
      <c r="D63" s="364">
        <f>D64+D67+D69+D72</f>
        <v>2200922</v>
      </c>
      <c r="E63" s="364">
        <f>E64+E67+E69+E72</f>
        <v>2002528.27</v>
      </c>
      <c r="F63" s="194">
        <f t="shared" ref="F63:F74" si="8">E63/D63*100</f>
        <v>90.985880917179259</v>
      </c>
    </row>
    <row r="64" spans="1:23" s="97" customFormat="1" x14ac:dyDescent="0.25">
      <c r="A64" s="131">
        <v>632</v>
      </c>
      <c r="B64" s="126" t="s">
        <v>263</v>
      </c>
      <c r="C64" s="320">
        <f>C65+C66</f>
        <v>5500</v>
      </c>
      <c r="D64" s="320">
        <f>D65+D66</f>
        <v>5500</v>
      </c>
      <c r="E64" s="320">
        <f>E65+E66</f>
        <v>0</v>
      </c>
      <c r="F64" s="195"/>
    </row>
    <row r="65" spans="1:23" s="97" customFormat="1" x14ac:dyDescent="0.25">
      <c r="A65" s="121">
        <v>6321</v>
      </c>
      <c r="B65" s="112" t="s">
        <v>264</v>
      </c>
      <c r="C65" s="321">
        <v>5500</v>
      </c>
      <c r="D65" s="321">
        <v>5500</v>
      </c>
      <c r="E65" s="321">
        <v>0</v>
      </c>
      <c r="F65" s="190"/>
    </row>
    <row r="66" spans="1:23" s="102" customFormat="1" x14ac:dyDescent="0.25">
      <c r="A66" s="121">
        <v>6322</v>
      </c>
      <c r="B66" s="112" t="s">
        <v>343</v>
      </c>
      <c r="C66" s="321">
        <v>0</v>
      </c>
      <c r="D66" s="321">
        <v>0</v>
      </c>
      <c r="E66" s="321">
        <v>0</v>
      </c>
      <c r="F66" s="190"/>
    </row>
    <row r="67" spans="1:23" s="97" customFormat="1" x14ac:dyDescent="0.25">
      <c r="A67" s="120">
        <v>634</v>
      </c>
      <c r="B67" s="115" t="s">
        <v>265</v>
      </c>
      <c r="C67" s="322">
        <f>C68</f>
        <v>6500</v>
      </c>
      <c r="D67" s="322">
        <f>D68</f>
        <v>6500</v>
      </c>
      <c r="E67" s="322">
        <f>E68</f>
        <v>74.680000000000007</v>
      </c>
      <c r="F67" s="198"/>
    </row>
    <row r="68" spans="1:23" s="97" customFormat="1" x14ac:dyDescent="0.25">
      <c r="A68" s="122">
        <v>6341</v>
      </c>
      <c r="B68" s="112" t="s">
        <v>266</v>
      </c>
      <c r="C68" s="321">
        <v>6500</v>
      </c>
      <c r="D68" s="321">
        <v>6500</v>
      </c>
      <c r="E68" s="321">
        <v>74.680000000000007</v>
      </c>
      <c r="F68" s="190"/>
    </row>
    <row r="69" spans="1:23" s="97" customFormat="1" x14ac:dyDescent="0.25">
      <c r="A69" s="120">
        <v>636</v>
      </c>
      <c r="B69" s="115" t="s">
        <v>267</v>
      </c>
      <c r="C69" s="322">
        <f>C70+C71</f>
        <v>2037422</v>
      </c>
      <c r="D69" s="322">
        <f>D70+D71</f>
        <v>2110422</v>
      </c>
      <c r="E69" s="322">
        <f>E70+E71</f>
        <v>1931732.02</v>
      </c>
      <c r="F69" s="198"/>
    </row>
    <row r="70" spans="1:23" s="97" customFormat="1" x14ac:dyDescent="0.25">
      <c r="A70" s="122">
        <v>6361</v>
      </c>
      <c r="B70" s="112" t="s">
        <v>268</v>
      </c>
      <c r="C70" s="321">
        <v>2027422</v>
      </c>
      <c r="D70" s="321">
        <v>2100422</v>
      </c>
      <c r="E70" s="321">
        <v>1927978.72</v>
      </c>
      <c r="F70" s="190"/>
    </row>
    <row r="71" spans="1:23" s="97" customFormat="1" x14ac:dyDescent="0.25">
      <c r="A71" s="122">
        <v>6362</v>
      </c>
      <c r="B71" s="112" t="s">
        <v>269</v>
      </c>
      <c r="C71" s="321">
        <v>10000</v>
      </c>
      <c r="D71" s="321">
        <v>10000</v>
      </c>
      <c r="E71" s="321">
        <v>3753.3</v>
      </c>
      <c r="F71" s="190"/>
    </row>
    <row r="72" spans="1:23" s="97" customFormat="1" x14ac:dyDescent="0.25">
      <c r="A72" s="120">
        <v>639</v>
      </c>
      <c r="B72" s="115" t="s">
        <v>205</v>
      </c>
      <c r="C72" s="322">
        <f>C73</f>
        <v>83600</v>
      </c>
      <c r="D72" s="322">
        <f>D73</f>
        <v>78500</v>
      </c>
      <c r="E72" s="322">
        <f>E73</f>
        <v>70721.570000000007</v>
      </c>
      <c r="F72" s="198"/>
    </row>
    <row r="73" spans="1:23" s="97" customFormat="1" ht="12.75" customHeight="1" thickBot="1" x14ac:dyDescent="0.3">
      <c r="A73" s="123">
        <v>6393</v>
      </c>
      <c r="B73" s="127" t="s">
        <v>206</v>
      </c>
      <c r="C73" s="321">
        <v>83600</v>
      </c>
      <c r="D73" s="321">
        <v>78500</v>
      </c>
      <c r="E73" s="321">
        <v>70721.570000000007</v>
      </c>
      <c r="F73" s="190"/>
    </row>
    <row r="74" spans="1:23" s="95" customFormat="1" ht="16.5" customHeight="1" thickBot="1" x14ac:dyDescent="0.3">
      <c r="A74" s="493" t="s">
        <v>289</v>
      </c>
      <c r="B74" s="494"/>
      <c r="C74" s="365">
        <f>C63</f>
        <v>2133022</v>
      </c>
      <c r="D74" s="365">
        <f>D63</f>
        <v>2200922</v>
      </c>
      <c r="E74" s="365">
        <f>E63</f>
        <v>2002528.27</v>
      </c>
      <c r="F74" s="192">
        <f t="shared" si="8"/>
        <v>90.985880917179259</v>
      </c>
    </row>
    <row r="75" spans="1:23" s="95" customFormat="1" ht="16.5" customHeight="1" thickTop="1" x14ac:dyDescent="0.25">
      <c r="A75" s="145"/>
      <c r="B75" s="145"/>
      <c r="C75" s="314"/>
      <c r="D75" s="314"/>
      <c r="E75" s="314"/>
      <c r="F75" s="199"/>
    </row>
    <row r="76" spans="1:23" s="97" customFormat="1" x14ac:dyDescent="0.25">
      <c r="A76" s="111" t="s">
        <v>322</v>
      </c>
      <c r="B76" s="94"/>
      <c r="C76" s="311"/>
      <c r="D76" s="311"/>
      <c r="E76" s="311"/>
      <c r="F76" s="186"/>
      <c r="G76" s="110"/>
      <c r="H76" s="110"/>
      <c r="I76" s="110"/>
      <c r="J76" s="110"/>
      <c r="K76" s="110"/>
      <c r="L76" s="110"/>
      <c r="M76" s="110"/>
      <c r="N76" s="110"/>
      <c r="O76" s="110"/>
      <c r="P76" s="110"/>
      <c r="Q76" s="110"/>
      <c r="R76" s="110"/>
      <c r="S76" s="110"/>
      <c r="T76" s="110"/>
      <c r="U76" s="110"/>
      <c r="V76" s="110"/>
      <c r="W76" s="110"/>
    </row>
    <row r="77" spans="1:23" s="97" customFormat="1" ht="13.8" thickBot="1" x14ac:dyDescent="0.3">
      <c r="A77" s="390"/>
      <c r="B77" s="390"/>
      <c r="C77" s="390"/>
      <c r="D77" s="390"/>
      <c r="E77" s="390"/>
      <c r="F77" s="390"/>
    </row>
    <row r="78" spans="1:23" s="97" customFormat="1" ht="40.799999999999997" thickTop="1" thickBot="1" x14ac:dyDescent="0.3">
      <c r="A78" s="117" t="s">
        <v>258</v>
      </c>
      <c r="B78" s="118" t="s">
        <v>259</v>
      </c>
      <c r="C78" s="118" t="s">
        <v>359</v>
      </c>
      <c r="D78" s="118" t="s">
        <v>360</v>
      </c>
      <c r="E78" s="118" t="s">
        <v>374</v>
      </c>
      <c r="F78" s="187" t="s">
        <v>260</v>
      </c>
    </row>
    <row r="79" spans="1:23" s="97" customFormat="1" ht="14.4" thickTop="1" thickBot="1" x14ac:dyDescent="0.3">
      <c r="A79" s="491">
        <v>1</v>
      </c>
      <c r="B79" s="492"/>
      <c r="C79" s="118">
        <v>2</v>
      </c>
      <c r="D79" s="118">
        <v>3</v>
      </c>
      <c r="E79" s="118">
        <v>4</v>
      </c>
      <c r="F79" s="187" t="s">
        <v>261</v>
      </c>
    </row>
    <row r="80" spans="1:23" s="102" customFormat="1" ht="13.8" thickTop="1" x14ac:dyDescent="0.25">
      <c r="A80" s="350">
        <v>66</v>
      </c>
      <c r="B80" s="135" t="s">
        <v>276</v>
      </c>
      <c r="C80" s="369">
        <f>C81</f>
        <v>4143</v>
      </c>
      <c r="D80" s="369">
        <f>D81</f>
        <v>6293</v>
      </c>
      <c r="E80" s="369">
        <f>E81</f>
        <v>3851.92</v>
      </c>
      <c r="F80" s="351">
        <f t="shared" ref="F80" si="9">E80/D80*100</f>
        <v>61.209597965993964</v>
      </c>
    </row>
    <row r="81" spans="1:23" s="97" customFormat="1" x14ac:dyDescent="0.25">
      <c r="A81" s="119">
        <v>663</v>
      </c>
      <c r="B81" s="126" t="s">
        <v>279</v>
      </c>
      <c r="C81" s="320">
        <f>C82+C83</f>
        <v>4143</v>
      </c>
      <c r="D81" s="320">
        <f>D82+D83</f>
        <v>6293</v>
      </c>
      <c r="E81" s="320">
        <f>E82+E83</f>
        <v>3851.92</v>
      </c>
      <c r="F81" s="195"/>
    </row>
    <row r="82" spans="1:23" s="97" customFormat="1" x14ac:dyDescent="0.25">
      <c r="A82" s="122">
        <v>6631</v>
      </c>
      <c r="B82" s="112" t="s">
        <v>185</v>
      </c>
      <c r="C82" s="321">
        <v>4143</v>
      </c>
      <c r="D82" s="321">
        <v>4143</v>
      </c>
      <c r="E82" s="321">
        <v>1706.92</v>
      </c>
      <c r="F82" s="190"/>
    </row>
    <row r="83" spans="1:23" s="97" customFormat="1" ht="13.8" thickBot="1" x14ac:dyDescent="0.3">
      <c r="A83" s="122">
        <v>6632</v>
      </c>
      <c r="B83" s="112" t="s">
        <v>186</v>
      </c>
      <c r="C83" s="321">
        <v>0</v>
      </c>
      <c r="D83" s="321">
        <v>2150</v>
      </c>
      <c r="E83" s="321">
        <v>2145</v>
      </c>
      <c r="F83" s="190"/>
    </row>
    <row r="84" spans="1:23" s="95" customFormat="1" ht="16.5" customHeight="1" thickBot="1" x14ac:dyDescent="0.3">
      <c r="A84" s="493" t="s">
        <v>290</v>
      </c>
      <c r="B84" s="494"/>
      <c r="C84" s="365">
        <f>C81</f>
        <v>4143</v>
      </c>
      <c r="D84" s="365">
        <f>D81</f>
        <v>6293</v>
      </c>
      <c r="E84" s="365">
        <f>E81</f>
        <v>3851.92</v>
      </c>
      <c r="F84" s="192">
        <f>E84/D84*100</f>
        <v>61.209597965993964</v>
      </c>
    </row>
    <row r="85" spans="1:23" s="95" customFormat="1" ht="16.5" customHeight="1" thickTop="1" x14ac:dyDescent="0.25">
      <c r="A85" s="145"/>
      <c r="B85" s="145"/>
      <c r="C85" s="368"/>
      <c r="D85" s="368"/>
      <c r="E85" s="314"/>
      <c r="F85" s="199"/>
    </row>
    <row r="86" spans="1:23" s="95" customFormat="1" ht="16.5" customHeight="1" x14ac:dyDescent="0.25">
      <c r="A86" s="497" t="s">
        <v>296</v>
      </c>
      <c r="B86" s="497"/>
      <c r="C86" s="313"/>
      <c r="D86" s="313"/>
      <c r="E86" s="313"/>
      <c r="F86" s="196"/>
    </row>
    <row r="87" spans="1:23" s="95" customFormat="1" ht="12.75" customHeight="1" x14ac:dyDescent="0.25">
      <c r="A87" s="130"/>
      <c r="B87" s="130"/>
      <c r="C87" s="313"/>
      <c r="D87" s="313"/>
      <c r="E87" s="313"/>
      <c r="F87" s="196"/>
    </row>
    <row r="88" spans="1:23" s="97" customFormat="1" x14ac:dyDescent="0.25">
      <c r="A88" s="111" t="s">
        <v>323</v>
      </c>
      <c r="B88" s="94"/>
      <c r="C88" s="311"/>
      <c r="D88" s="311"/>
      <c r="E88" s="311"/>
      <c r="F88" s="186"/>
      <c r="G88" s="110"/>
      <c r="H88" s="110"/>
      <c r="I88" s="110"/>
      <c r="J88" s="110"/>
      <c r="K88" s="110"/>
      <c r="L88" s="110"/>
      <c r="M88" s="110"/>
      <c r="N88" s="110"/>
      <c r="O88" s="110"/>
      <c r="P88" s="110"/>
      <c r="Q88" s="110"/>
      <c r="R88" s="110"/>
      <c r="S88" s="110"/>
      <c r="T88" s="110"/>
      <c r="U88" s="110"/>
      <c r="V88" s="110"/>
      <c r="W88" s="110"/>
    </row>
    <row r="89" spans="1:23" s="97" customFormat="1" ht="13.8" thickBot="1" x14ac:dyDescent="0.3">
      <c r="A89" s="390"/>
      <c r="B89" s="390"/>
      <c r="C89" s="390"/>
      <c r="D89" s="390"/>
      <c r="E89" s="390"/>
      <c r="F89" s="390"/>
    </row>
    <row r="90" spans="1:23" s="97" customFormat="1" ht="40.799999999999997" thickTop="1" thickBot="1" x14ac:dyDescent="0.3">
      <c r="A90" s="117" t="s">
        <v>258</v>
      </c>
      <c r="B90" s="118" t="s">
        <v>259</v>
      </c>
      <c r="C90" s="118" t="s">
        <v>359</v>
      </c>
      <c r="D90" s="118" t="s">
        <v>360</v>
      </c>
      <c r="E90" s="118" t="s">
        <v>374</v>
      </c>
      <c r="F90" s="187" t="s">
        <v>260</v>
      </c>
    </row>
    <row r="91" spans="1:23" s="97" customFormat="1" ht="14.4" thickTop="1" thickBot="1" x14ac:dyDescent="0.3">
      <c r="A91" s="491">
        <v>1</v>
      </c>
      <c r="B91" s="492"/>
      <c r="C91" s="118">
        <v>2</v>
      </c>
      <c r="D91" s="118">
        <v>3</v>
      </c>
      <c r="E91" s="118">
        <v>4</v>
      </c>
      <c r="F91" s="187" t="s">
        <v>261</v>
      </c>
    </row>
    <row r="92" spans="1:23" s="97" customFormat="1" ht="13.8" thickTop="1" x14ac:dyDescent="0.25">
      <c r="A92" s="133">
        <v>92</v>
      </c>
      <c r="B92" s="135" t="s">
        <v>292</v>
      </c>
      <c r="C92" s="364">
        <f>C93</f>
        <v>5934</v>
      </c>
      <c r="D92" s="364">
        <f>D93</f>
        <v>5934</v>
      </c>
      <c r="E92" s="364">
        <f>E93</f>
        <v>5933.31</v>
      </c>
      <c r="F92" s="194">
        <f>E92/D92*100</f>
        <v>99.988372093023258</v>
      </c>
    </row>
    <row r="93" spans="1:23" s="97" customFormat="1" x14ac:dyDescent="0.25">
      <c r="A93" s="131">
        <v>922</v>
      </c>
      <c r="B93" s="126" t="s">
        <v>293</v>
      </c>
      <c r="C93" s="320">
        <f>C94+C95</f>
        <v>5934</v>
      </c>
      <c r="D93" s="320">
        <f>D94+D95</f>
        <v>5934</v>
      </c>
      <c r="E93" s="320">
        <f>E94+E95</f>
        <v>5933.31</v>
      </c>
      <c r="F93" s="195"/>
    </row>
    <row r="94" spans="1:23" s="97" customFormat="1" x14ac:dyDescent="0.25">
      <c r="A94" s="122">
        <v>92211</v>
      </c>
      <c r="B94" s="112" t="s">
        <v>291</v>
      </c>
      <c r="C94" s="321">
        <v>0</v>
      </c>
      <c r="D94" s="321">
        <v>0</v>
      </c>
      <c r="E94" s="321">
        <v>0</v>
      </c>
      <c r="F94" s="190"/>
    </row>
    <row r="95" spans="1:23" s="102" customFormat="1" ht="13.8" thickBot="1" x14ac:dyDescent="0.3">
      <c r="A95" s="122">
        <v>92212</v>
      </c>
      <c r="B95" s="112" t="s">
        <v>335</v>
      </c>
      <c r="C95" s="321">
        <v>5934</v>
      </c>
      <c r="D95" s="321">
        <v>5934</v>
      </c>
      <c r="E95" s="321">
        <v>5933.31</v>
      </c>
      <c r="F95" s="190"/>
    </row>
    <row r="96" spans="1:23" s="95" customFormat="1" ht="16.5" customHeight="1" thickBot="1" x14ac:dyDescent="0.3">
      <c r="A96" s="493" t="s">
        <v>294</v>
      </c>
      <c r="B96" s="494"/>
      <c r="C96" s="365">
        <f>C92</f>
        <v>5934</v>
      </c>
      <c r="D96" s="365">
        <f>D92</f>
        <v>5934</v>
      </c>
      <c r="E96" s="365">
        <f>E92</f>
        <v>5933.31</v>
      </c>
      <c r="F96" s="192">
        <f>E96/D96*100</f>
        <v>99.988372093023258</v>
      </c>
    </row>
    <row r="97" spans="1:23" s="95" customFormat="1" ht="16.5" customHeight="1" thickTop="1" x14ac:dyDescent="0.25">
      <c r="A97" s="130"/>
      <c r="B97" s="130"/>
      <c r="C97" s="313"/>
      <c r="D97" s="313"/>
      <c r="E97" s="313"/>
      <c r="F97" s="196"/>
    </row>
    <row r="98" spans="1:23" s="97" customFormat="1" x14ac:dyDescent="0.25">
      <c r="A98" s="111" t="s">
        <v>324</v>
      </c>
      <c r="B98" s="94"/>
      <c r="C98" s="311"/>
      <c r="D98" s="311"/>
      <c r="E98" s="311"/>
      <c r="F98" s="186"/>
      <c r="G98" s="110"/>
      <c r="H98" s="110"/>
      <c r="I98" s="110"/>
      <c r="J98" s="110"/>
      <c r="K98" s="110"/>
      <c r="L98" s="110"/>
      <c r="M98" s="110"/>
      <c r="N98" s="110"/>
      <c r="O98" s="110"/>
      <c r="P98" s="110"/>
      <c r="Q98" s="110"/>
      <c r="R98" s="110"/>
      <c r="S98" s="110"/>
      <c r="T98" s="110"/>
      <c r="U98" s="110"/>
      <c r="V98" s="110"/>
      <c r="W98" s="110"/>
    </row>
    <row r="99" spans="1:23" s="97" customFormat="1" ht="13.8" thickBot="1" x14ac:dyDescent="0.3">
      <c r="A99" s="390"/>
      <c r="B99" s="390"/>
      <c r="C99" s="390"/>
      <c r="D99" s="390"/>
      <c r="E99" s="390"/>
      <c r="F99" s="390"/>
    </row>
    <row r="100" spans="1:23" s="97" customFormat="1" ht="40.799999999999997" thickTop="1" thickBot="1" x14ac:dyDescent="0.3">
      <c r="A100" s="117" t="s">
        <v>258</v>
      </c>
      <c r="B100" s="118" t="s">
        <v>259</v>
      </c>
      <c r="C100" s="118" t="s">
        <v>359</v>
      </c>
      <c r="D100" s="118" t="s">
        <v>360</v>
      </c>
      <c r="E100" s="118" t="s">
        <v>374</v>
      </c>
      <c r="F100" s="187" t="s">
        <v>260</v>
      </c>
    </row>
    <row r="101" spans="1:23" s="97" customFormat="1" ht="14.4" thickTop="1" thickBot="1" x14ac:dyDescent="0.3">
      <c r="A101" s="491">
        <v>1</v>
      </c>
      <c r="B101" s="492"/>
      <c r="C101" s="118">
        <v>2</v>
      </c>
      <c r="D101" s="118">
        <v>3</v>
      </c>
      <c r="E101" s="118">
        <v>4</v>
      </c>
      <c r="F101" s="187" t="s">
        <v>261</v>
      </c>
    </row>
    <row r="102" spans="1:23" s="97" customFormat="1" ht="13.8" thickTop="1" x14ac:dyDescent="0.25">
      <c r="A102" s="133">
        <v>92</v>
      </c>
      <c r="B102" s="135" t="s">
        <v>292</v>
      </c>
      <c r="C102" s="364">
        <f>C103</f>
        <v>30353</v>
      </c>
      <c r="D102" s="364">
        <f>D103</f>
        <v>30353</v>
      </c>
      <c r="E102" s="364">
        <f>E103</f>
        <v>24969.239999999998</v>
      </c>
      <c r="F102" s="194">
        <f>E102/D102*100</f>
        <v>82.262840575890351</v>
      </c>
    </row>
    <row r="103" spans="1:23" s="97" customFormat="1" x14ac:dyDescent="0.25">
      <c r="A103" s="131">
        <v>922</v>
      </c>
      <c r="B103" s="126" t="s">
        <v>293</v>
      </c>
      <c r="C103" s="320">
        <f>C104+C105</f>
        <v>30353</v>
      </c>
      <c r="D103" s="320">
        <f>D104+D105</f>
        <v>30353</v>
      </c>
      <c r="E103" s="320">
        <f>E104+E105</f>
        <v>24969.239999999998</v>
      </c>
      <c r="F103" s="195"/>
    </row>
    <row r="104" spans="1:23" s="97" customFormat="1" x14ac:dyDescent="0.25">
      <c r="A104" s="122">
        <v>92211</v>
      </c>
      <c r="B104" s="112" t="s">
        <v>291</v>
      </c>
      <c r="C104" s="321">
        <v>14865</v>
      </c>
      <c r="D104" s="321">
        <v>14865</v>
      </c>
      <c r="E104" s="321">
        <v>12706.8</v>
      </c>
      <c r="F104" s="190"/>
    </row>
    <row r="105" spans="1:23" s="102" customFormat="1" ht="13.8" thickBot="1" x14ac:dyDescent="0.3">
      <c r="A105" s="122">
        <v>92212</v>
      </c>
      <c r="B105" s="112" t="s">
        <v>335</v>
      </c>
      <c r="C105" s="321">
        <v>15488</v>
      </c>
      <c r="D105" s="321">
        <v>15488</v>
      </c>
      <c r="E105" s="321">
        <v>12262.44</v>
      </c>
      <c r="F105" s="190"/>
    </row>
    <row r="106" spans="1:23" s="95" customFormat="1" ht="16.5" customHeight="1" thickBot="1" x14ac:dyDescent="0.3">
      <c r="A106" s="493" t="s">
        <v>295</v>
      </c>
      <c r="B106" s="494"/>
      <c r="C106" s="365">
        <f>C102</f>
        <v>30353</v>
      </c>
      <c r="D106" s="365">
        <f>D102</f>
        <v>30353</v>
      </c>
      <c r="E106" s="365">
        <f>E102</f>
        <v>24969.239999999998</v>
      </c>
      <c r="F106" s="192">
        <f>E106/D106*100</f>
        <v>82.262840575890351</v>
      </c>
    </row>
    <row r="107" spans="1:23" s="95" customFormat="1" ht="16.5" customHeight="1" thickTop="1" x14ac:dyDescent="0.25">
      <c r="A107" s="130"/>
      <c r="B107" s="130"/>
      <c r="C107" s="313"/>
      <c r="D107" s="313"/>
      <c r="E107" s="366"/>
      <c r="F107" s="196"/>
    </row>
    <row r="108" spans="1:23" s="97" customFormat="1" x14ac:dyDescent="0.25">
      <c r="A108" s="111" t="s">
        <v>325</v>
      </c>
      <c r="B108" s="94"/>
      <c r="C108" s="311"/>
      <c r="D108" s="311"/>
      <c r="E108" s="311"/>
      <c r="F108" s="186"/>
      <c r="G108" s="110"/>
      <c r="H108" s="110"/>
      <c r="I108" s="110"/>
      <c r="J108" s="110"/>
      <c r="K108" s="110"/>
      <c r="L108" s="110"/>
      <c r="M108" s="110"/>
      <c r="N108" s="110"/>
      <c r="O108" s="110"/>
      <c r="P108" s="110"/>
      <c r="Q108" s="110"/>
      <c r="R108" s="110"/>
      <c r="S108" s="110"/>
      <c r="T108" s="110"/>
      <c r="U108" s="110"/>
      <c r="V108" s="110"/>
      <c r="W108" s="110"/>
    </row>
    <row r="109" spans="1:23" s="97" customFormat="1" ht="13.8" thickBot="1" x14ac:dyDescent="0.3">
      <c r="A109" s="390"/>
      <c r="B109" s="390"/>
      <c r="C109" s="390"/>
      <c r="D109" s="390"/>
      <c r="E109" s="390"/>
      <c r="F109" s="390"/>
    </row>
    <row r="110" spans="1:23" s="97" customFormat="1" ht="40.799999999999997" thickTop="1" thickBot="1" x14ac:dyDescent="0.3">
      <c r="A110" s="117" t="s">
        <v>258</v>
      </c>
      <c r="B110" s="118" t="s">
        <v>259</v>
      </c>
      <c r="C110" s="118" t="s">
        <v>359</v>
      </c>
      <c r="D110" s="118" t="s">
        <v>360</v>
      </c>
      <c r="E110" s="118" t="s">
        <v>374</v>
      </c>
      <c r="F110" s="187" t="s">
        <v>260</v>
      </c>
    </row>
    <row r="111" spans="1:23" s="97" customFormat="1" ht="14.4" thickTop="1" thickBot="1" x14ac:dyDescent="0.3">
      <c r="A111" s="491">
        <v>1</v>
      </c>
      <c r="B111" s="492"/>
      <c r="C111" s="118">
        <v>2</v>
      </c>
      <c r="D111" s="118">
        <v>3</v>
      </c>
      <c r="E111" s="118">
        <v>4</v>
      </c>
      <c r="F111" s="187" t="s">
        <v>261</v>
      </c>
    </row>
    <row r="112" spans="1:23" s="97" customFormat="1" ht="13.8" thickTop="1" x14ac:dyDescent="0.25">
      <c r="A112" s="133">
        <v>92</v>
      </c>
      <c r="B112" s="135" t="s">
        <v>292</v>
      </c>
      <c r="C112" s="364">
        <f t="shared" ref="C112:E112" si="10">C113</f>
        <v>23283</v>
      </c>
      <c r="D112" s="364">
        <f t="shared" si="10"/>
        <v>23283</v>
      </c>
      <c r="E112" s="364">
        <f t="shared" si="10"/>
        <v>22029.03</v>
      </c>
      <c r="F112" s="194">
        <f>E112/D112*100</f>
        <v>94.614224971008881</v>
      </c>
    </row>
    <row r="113" spans="1:23" s="97" customFormat="1" x14ac:dyDescent="0.25">
      <c r="A113" s="131">
        <v>922</v>
      </c>
      <c r="B113" s="126" t="s">
        <v>293</v>
      </c>
      <c r="C113" s="320">
        <f>C114+C115</f>
        <v>23283</v>
      </c>
      <c r="D113" s="320">
        <f t="shared" ref="D113:E113" si="11">D114+D115</f>
        <v>23283</v>
      </c>
      <c r="E113" s="320">
        <f t="shared" si="11"/>
        <v>22029.03</v>
      </c>
      <c r="F113" s="195"/>
    </row>
    <row r="114" spans="1:23" s="97" customFormat="1" x14ac:dyDescent="0.25">
      <c r="A114" s="122">
        <v>92211</v>
      </c>
      <c r="B114" s="112" t="s">
        <v>291</v>
      </c>
      <c r="C114" s="321">
        <v>21797</v>
      </c>
      <c r="D114" s="321">
        <v>21797</v>
      </c>
      <c r="E114" s="321">
        <v>20543.46</v>
      </c>
      <c r="F114" s="190"/>
    </row>
    <row r="115" spans="1:23" s="102" customFormat="1" ht="13.8" thickBot="1" x14ac:dyDescent="0.3">
      <c r="A115" s="122">
        <v>92212</v>
      </c>
      <c r="B115" s="112" t="s">
        <v>335</v>
      </c>
      <c r="C115" s="321">
        <v>1486</v>
      </c>
      <c r="D115" s="321">
        <v>1486</v>
      </c>
      <c r="E115" s="321">
        <v>1485.57</v>
      </c>
      <c r="F115" s="190"/>
    </row>
    <row r="116" spans="1:23" s="95" customFormat="1" ht="16.5" customHeight="1" thickBot="1" x14ac:dyDescent="0.3">
      <c r="A116" s="493" t="s">
        <v>297</v>
      </c>
      <c r="B116" s="494"/>
      <c r="C116" s="365">
        <f>C112</f>
        <v>23283</v>
      </c>
      <c r="D116" s="365">
        <f>D112</f>
        <v>23283</v>
      </c>
      <c r="E116" s="365">
        <f>E112</f>
        <v>22029.03</v>
      </c>
      <c r="F116" s="192">
        <f>E116/D116*100</f>
        <v>94.614224971008881</v>
      </c>
    </row>
    <row r="117" spans="1:23" s="153" customFormat="1" ht="16.5" customHeight="1" thickTop="1" x14ac:dyDescent="0.25">
      <c r="A117" s="151"/>
      <c r="B117" s="152" t="s">
        <v>298</v>
      </c>
      <c r="C117" s="370">
        <f>C21+C30+C42+C57+C74+C84</f>
        <v>2474255</v>
      </c>
      <c r="D117" s="370">
        <f>D21+D30+D42+D57+D74+D84</f>
        <v>2555725</v>
      </c>
      <c r="E117" s="370">
        <f>E21+E30+E42+E57+E74+E84</f>
        <v>2312949.34</v>
      </c>
      <c r="F117" s="200">
        <f t="shared" ref="F117:F119" si="12">E117/D117*100</f>
        <v>90.500712713613552</v>
      </c>
    </row>
    <row r="118" spans="1:23" s="153" customFormat="1" ht="16.5" customHeight="1" x14ac:dyDescent="0.25">
      <c r="A118" s="154"/>
      <c r="B118" s="155" t="s">
        <v>299</v>
      </c>
      <c r="C118" s="371">
        <f>C96+C106+C116</f>
        <v>59570</v>
      </c>
      <c r="D118" s="371">
        <f t="shared" ref="D118:E118" si="13">D96+D106+D116</f>
        <v>59570</v>
      </c>
      <c r="E118" s="371">
        <f t="shared" si="13"/>
        <v>52931.58</v>
      </c>
      <c r="F118" s="201">
        <f t="shared" si="12"/>
        <v>88.85610206479771</v>
      </c>
    </row>
    <row r="119" spans="1:23" s="153" customFormat="1" ht="16.5" customHeight="1" thickBot="1" x14ac:dyDescent="0.3">
      <c r="A119" s="156"/>
      <c r="B119" s="157" t="s">
        <v>300</v>
      </c>
      <c r="C119" s="372">
        <f>C117+C118</f>
        <v>2533825</v>
      </c>
      <c r="D119" s="372">
        <f>D117+D118</f>
        <v>2615295</v>
      </c>
      <c r="E119" s="372">
        <f>E117+E118</f>
        <v>2365880.92</v>
      </c>
      <c r="F119" s="202">
        <f t="shared" si="12"/>
        <v>90.463252520270174</v>
      </c>
    </row>
    <row r="120" spans="1:23" s="153" customFormat="1" ht="16.5" customHeight="1" thickTop="1" x14ac:dyDescent="0.25">
      <c r="A120" s="159"/>
      <c r="B120" s="159"/>
      <c r="C120" s="314"/>
      <c r="D120" s="314"/>
      <c r="E120" s="314"/>
      <c r="F120" s="203"/>
    </row>
    <row r="121" spans="1:23" s="153" customFormat="1" ht="16.5" customHeight="1" x14ac:dyDescent="0.25">
      <c r="A121" s="497" t="s">
        <v>301</v>
      </c>
      <c r="B121" s="497"/>
      <c r="C121" s="497"/>
      <c r="D121" s="497"/>
      <c r="E121" s="497"/>
      <c r="F121" s="497"/>
    </row>
    <row r="122" spans="1:23" s="153" customFormat="1" ht="16.5" customHeight="1" x14ac:dyDescent="0.25">
      <c r="A122" s="160" t="s">
        <v>302</v>
      </c>
      <c r="B122" s="130"/>
      <c r="C122" s="315"/>
      <c r="D122" s="315"/>
      <c r="E122" s="315"/>
      <c r="F122" s="204"/>
    </row>
    <row r="123" spans="1:23" s="153" customFormat="1" ht="16.5" customHeight="1" x14ac:dyDescent="0.25">
      <c r="A123" s="160" t="s">
        <v>303</v>
      </c>
      <c r="B123" s="130"/>
      <c r="C123" s="315"/>
      <c r="D123" s="315"/>
      <c r="E123" s="315"/>
      <c r="F123" s="204"/>
    </row>
    <row r="124" spans="1:23" s="153" customFormat="1" ht="12.75" customHeight="1" x14ac:dyDescent="0.25">
      <c r="A124" s="160"/>
      <c r="B124" s="130"/>
      <c r="C124" s="315"/>
      <c r="D124" s="315"/>
      <c r="E124" s="315"/>
      <c r="F124" s="204"/>
    </row>
    <row r="125" spans="1:23" s="97" customFormat="1" x14ac:dyDescent="0.25">
      <c r="A125" s="111" t="s">
        <v>326</v>
      </c>
      <c r="B125" s="94"/>
      <c r="C125" s="311"/>
      <c r="D125" s="311"/>
      <c r="E125" s="311"/>
      <c r="F125" s="186"/>
      <c r="G125" s="110"/>
      <c r="H125" s="110"/>
      <c r="I125" s="110"/>
      <c r="J125" s="110"/>
      <c r="K125" s="110"/>
      <c r="L125" s="110"/>
      <c r="M125" s="110"/>
      <c r="N125" s="110"/>
      <c r="O125" s="110"/>
      <c r="P125" s="110"/>
      <c r="Q125" s="110"/>
      <c r="R125" s="110"/>
      <c r="S125" s="110"/>
      <c r="T125" s="110"/>
      <c r="U125" s="110"/>
      <c r="V125" s="110"/>
      <c r="W125" s="110"/>
    </row>
    <row r="126" spans="1:23" s="97" customFormat="1" ht="13.8" thickBot="1" x14ac:dyDescent="0.3">
      <c r="A126" s="390"/>
      <c r="B126" s="390"/>
      <c r="C126" s="390"/>
      <c r="D126" s="390"/>
      <c r="E126" s="390"/>
      <c r="F126" s="390"/>
    </row>
    <row r="127" spans="1:23" s="97" customFormat="1" ht="40.799999999999997" thickTop="1" thickBot="1" x14ac:dyDescent="0.3">
      <c r="A127" s="117" t="s">
        <v>304</v>
      </c>
      <c r="B127" s="118" t="s">
        <v>259</v>
      </c>
      <c r="C127" s="118" t="s">
        <v>359</v>
      </c>
      <c r="D127" s="118" t="s">
        <v>360</v>
      </c>
      <c r="E127" s="118" t="s">
        <v>374</v>
      </c>
      <c r="F127" s="187" t="s">
        <v>260</v>
      </c>
    </row>
    <row r="128" spans="1:23" s="97" customFormat="1" ht="14.4" thickTop="1" thickBot="1" x14ac:dyDescent="0.3">
      <c r="A128" s="491">
        <v>1</v>
      </c>
      <c r="B128" s="492"/>
      <c r="C128" s="118">
        <v>2</v>
      </c>
      <c r="D128" s="118">
        <v>3</v>
      </c>
      <c r="E128" s="118">
        <v>4</v>
      </c>
      <c r="F128" s="187" t="s">
        <v>261</v>
      </c>
    </row>
    <row r="129" spans="1:6" s="102" customFormat="1" ht="13.8" thickTop="1" x14ac:dyDescent="0.25">
      <c r="A129" s="350">
        <v>3</v>
      </c>
      <c r="B129" s="134" t="s">
        <v>207</v>
      </c>
      <c r="C129" s="369">
        <f>C130+C159</f>
        <v>110960</v>
      </c>
      <c r="D129" s="369">
        <f t="shared" ref="D129:E129" si="14">D130+D159</f>
        <v>115038</v>
      </c>
      <c r="E129" s="369">
        <f t="shared" si="14"/>
        <v>114902.75</v>
      </c>
      <c r="F129" s="351">
        <f>E129/D129*100</f>
        <v>99.882430153514491</v>
      </c>
    </row>
    <row r="130" spans="1:6" s="41" customFormat="1" x14ac:dyDescent="0.25">
      <c r="A130" s="352" t="s">
        <v>209</v>
      </c>
      <c r="B130" s="142" t="s">
        <v>215</v>
      </c>
      <c r="C130" s="373">
        <f>C131+C135+C141+C151+C153</f>
        <v>108410</v>
      </c>
      <c r="D130" s="373">
        <f>D131+D135+D141+D151+D153</f>
        <v>111988</v>
      </c>
      <c r="E130" s="373">
        <f>E131+E135+E141+E151+E153</f>
        <v>111988</v>
      </c>
      <c r="F130" s="353">
        <f t="shared" ref="F130:F159" si="15">E130/D130*100</f>
        <v>100</v>
      </c>
    </row>
    <row r="131" spans="1:6" s="41" customFormat="1" x14ac:dyDescent="0.25">
      <c r="A131" s="227" t="s">
        <v>119</v>
      </c>
      <c r="B131" s="126" t="s">
        <v>120</v>
      </c>
      <c r="C131" s="374">
        <f>SUM(C132:C134)</f>
        <v>13650</v>
      </c>
      <c r="D131" s="374">
        <f>SUM(D132:D134)</f>
        <v>11677</v>
      </c>
      <c r="E131" s="374">
        <f>SUM(E132:E134)</f>
        <v>11575.07</v>
      </c>
      <c r="F131" s="335"/>
    </row>
    <row r="132" spans="1:6" s="41" customFormat="1" x14ac:dyDescent="0.25">
      <c r="A132" s="121" t="s">
        <v>121</v>
      </c>
      <c r="B132" s="127" t="s">
        <v>122</v>
      </c>
      <c r="C132" s="161">
        <v>11150</v>
      </c>
      <c r="D132" s="161">
        <v>9607</v>
      </c>
      <c r="E132" s="161">
        <v>9534.57</v>
      </c>
      <c r="F132" s="206"/>
    </row>
    <row r="133" spans="1:6" s="41" customFormat="1" x14ac:dyDescent="0.25">
      <c r="A133" s="121" t="s">
        <v>125</v>
      </c>
      <c r="B133" s="127" t="s">
        <v>126</v>
      </c>
      <c r="C133" s="161">
        <v>1200</v>
      </c>
      <c r="D133" s="161">
        <v>990</v>
      </c>
      <c r="E133" s="161">
        <v>988</v>
      </c>
      <c r="F133" s="206"/>
    </row>
    <row r="134" spans="1:6" x14ac:dyDescent="0.25">
      <c r="A134" s="122" t="s">
        <v>187</v>
      </c>
      <c r="B134" s="113" t="s">
        <v>188</v>
      </c>
      <c r="C134" s="161">
        <v>1300</v>
      </c>
      <c r="D134" s="161">
        <v>1080</v>
      </c>
      <c r="E134" s="161">
        <v>1052.5</v>
      </c>
      <c r="F134" s="207"/>
    </row>
    <row r="135" spans="1:6" x14ac:dyDescent="0.25">
      <c r="A135" s="124" t="s">
        <v>127</v>
      </c>
      <c r="B135" s="115" t="s">
        <v>128</v>
      </c>
      <c r="C135" s="162">
        <f>SUM(C136:C140)</f>
        <v>42080</v>
      </c>
      <c r="D135" s="162">
        <f>SUM(D136:D140)</f>
        <v>50076</v>
      </c>
      <c r="E135" s="162">
        <f>SUM(E136:E140)</f>
        <v>50966.720000000001</v>
      </c>
      <c r="F135" s="205"/>
    </row>
    <row r="136" spans="1:6" x14ac:dyDescent="0.25">
      <c r="A136" s="122" t="s">
        <v>129</v>
      </c>
      <c r="B136" s="113" t="s">
        <v>130</v>
      </c>
      <c r="C136" s="161">
        <v>14350</v>
      </c>
      <c r="D136" s="161">
        <v>15418</v>
      </c>
      <c r="E136" s="161">
        <v>14476.72</v>
      </c>
      <c r="F136" s="207"/>
    </row>
    <row r="137" spans="1:6" x14ac:dyDescent="0.25">
      <c r="A137" s="122" t="s">
        <v>131</v>
      </c>
      <c r="B137" s="113" t="s">
        <v>132</v>
      </c>
      <c r="C137" s="161">
        <v>20980</v>
      </c>
      <c r="D137" s="161">
        <v>26208</v>
      </c>
      <c r="E137" s="161">
        <v>29152.54</v>
      </c>
      <c r="F137" s="207"/>
    </row>
    <row r="138" spans="1:6" x14ac:dyDescent="0.25">
      <c r="A138" s="122" t="s">
        <v>133</v>
      </c>
      <c r="B138" s="113" t="s">
        <v>134</v>
      </c>
      <c r="C138" s="161">
        <v>2950</v>
      </c>
      <c r="D138" s="161">
        <v>5350</v>
      </c>
      <c r="E138" s="161">
        <v>5118.1400000000003</v>
      </c>
      <c r="F138" s="207"/>
    </row>
    <row r="139" spans="1:6" x14ac:dyDescent="0.25">
      <c r="A139" s="122" t="s">
        <v>135</v>
      </c>
      <c r="B139" s="113" t="s">
        <v>136</v>
      </c>
      <c r="C139" s="161">
        <v>1800</v>
      </c>
      <c r="D139" s="161">
        <v>1800</v>
      </c>
      <c r="E139" s="161">
        <v>1229.43</v>
      </c>
      <c r="F139" s="207"/>
    </row>
    <row r="140" spans="1:6" x14ac:dyDescent="0.25">
      <c r="A140" s="122" t="s">
        <v>137</v>
      </c>
      <c r="B140" s="113" t="s">
        <v>138</v>
      </c>
      <c r="C140" s="161">
        <v>2000</v>
      </c>
      <c r="D140" s="161">
        <v>1300</v>
      </c>
      <c r="E140" s="161">
        <v>989.89</v>
      </c>
      <c r="F140" s="207"/>
    </row>
    <row r="141" spans="1:6" x14ac:dyDescent="0.25">
      <c r="A141" s="124" t="s">
        <v>139</v>
      </c>
      <c r="B141" s="115" t="s">
        <v>140</v>
      </c>
      <c r="C141" s="162">
        <f>SUM(C142:C150)</f>
        <v>41340</v>
      </c>
      <c r="D141" s="162">
        <f>SUM(D142:D150)</f>
        <v>39289</v>
      </c>
      <c r="E141" s="162">
        <f>SUM(E142:E150)</f>
        <v>38627.79</v>
      </c>
      <c r="F141" s="205"/>
    </row>
    <row r="142" spans="1:6" x14ac:dyDescent="0.25">
      <c r="A142" s="122" t="s">
        <v>141</v>
      </c>
      <c r="B142" s="113" t="s">
        <v>142</v>
      </c>
      <c r="C142" s="161">
        <v>4200</v>
      </c>
      <c r="D142" s="161">
        <v>4080</v>
      </c>
      <c r="E142" s="161">
        <v>3960.89</v>
      </c>
      <c r="F142" s="207"/>
    </row>
    <row r="143" spans="1:6" x14ac:dyDescent="0.25">
      <c r="A143" s="122" t="s">
        <v>143</v>
      </c>
      <c r="B143" s="113" t="s">
        <v>144</v>
      </c>
      <c r="C143" s="161">
        <v>15670</v>
      </c>
      <c r="D143" s="161">
        <v>13670</v>
      </c>
      <c r="E143" s="161">
        <v>13526.23</v>
      </c>
      <c r="F143" s="207"/>
    </row>
    <row r="144" spans="1:6" x14ac:dyDescent="0.25">
      <c r="A144" s="122" t="s">
        <v>145</v>
      </c>
      <c r="B144" s="113" t="s">
        <v>146</v>
      </c>
      <c r="C144" s="161">
        <v>290</v>
      </c>
      <c r="D144" s="161">
        <v>290</v>
      </c>
      <c r="E144" s="161">
        <v>288.54000000000002</v>
      </c>
      <c r="F144" s="207"/>
    </row>
    <row r="145" spans="1:6" x14ac:dyDescent="0.25">
      <c r="A145" s="122" t="s">
        <v>147</v>
      </c>
      <c r="B145" s="113" t="s">
        <v>148</v>
      </c>
      <c r="C145" s="161">
        <v>8240</v>
      </c>
      <c r="D145" s="161">
        <v>9115</v>
      </c>
      <c r="E145" s="161">
        <v>9308.2900000000009</v>
      </c>
      <c r="F145" s="207"/>
    </row>
    <row r="146" spans="1:6" x14ac:dyDescent="0.25">
      <c r="A146" s="122" t="s">
        <v>149</v>
      </c>
      <c r="B146" s="113" t="s">
        <v>150</v>
      </c>
      <c r="C146" s="161">
        <v>790</v>
      </c>
      <c r="D146" s="161">
        <v>1020</v>
      </c>
      <c r="E146" s="161">
        <v>1020.36</v>
      </c>
      <c r="F146" s="207"/>
    </row>
    <row r="147" spans="1:6" x14ac:dyDescent="0.25">
      <c r="A147" s="122" t="s">
        <v>151</v>
      </c>
      <c r="B147" s="113" t="s">
        <v>152</v>
      </c>
      <c r="C147" s="161">
        <v>4110</v>
      </c>
      <c r="D147" s="161">
        <v>3714</v>
      </c>
      <c r="E147" s="161">
        <v>3578.1</v>
      </c>
      <c r="F147" s="207"/>
    </row>
    <row r="148" spans="1:6" x14ac:dyDescent="0.25">
      <c r="A148" s="122" t="s">
        <v>153</v>
      </c>
      <c r="B148" s="113" t="s">
        <v>154</v>
      </c>
      <c r="C148" s="161">
        <v>390</v>
      </c>
      <c r="D148" s="161">
        <v>130</v>
      </c>
      <c r="E148" s="161">
        <v>125</v>
      </c>
      <c r="F148" s="207"/>
    </row>
    <row r="149" spans="1:6" x14ac:dyDescent="0.25">
      <c r="A149" s="122" t="s">
        <v>155</v>
      </c>
      <c r="B149" s="113" t="s">
        <v>156</v>
      </c>
      <c r="C149" s="161">
        <v>1380</v>
      </c>
      <c r="D149" s="161">
        <v>1470</v>
      </c>
      <c r="E149" s="161">
        <v>1560.78</v>
      </c>
      <c r="F149" s="207"/>
    </row>
    <row r="150" spans="1:6" x14ac:dyDescent="0.25">
      <c r="A150" s="122" t="s">
        <v>157</v>
      </c>
      <c r="B150" s="113" t="s">
        <v>158</v>
      </c>
      <c r="C150" s="161">
        <v>6270</v>
      </c>
      <c r="D150" s="161">
        <v>5800</v>
      </c>
      <c r="E150" s="161">
        <v>5259.6</v>
      </c>
      <c r="F150" s="207"/>
    </row>
    <row r="151" spans="1:6" x14ac:dyDescent="0.25">
      <c r="A151" s="124" t="s">
        <v>159</v>
      </c>
      <c r="B151" s="115" t="s">
        <v>160</v>
      </c>
      <c r="C151" s="162">
        <f>C152</f>
        <v>60</v>
      </c>
      <c r="D151" s="162">
        <f>D152</f>
        <v>26</v>
      </c>
      <c r="E151" s="162">
        <f>E152</f>
        <v>25.6</v>
      </c>
      <c r="F151" s="205"/>
    </row>
    <row r="152" spans="1:6" x14ac:dyDescent="0.25">
      <c r="A152" s="122" t="s">
        <v>161</v>
      </c>
      <c r="B152" s="113" t="s">
        <v>160</v>
      </c>
      <c r="C152" s="161">
        <v>60</v>
      </c>
      <c r="D152" s="161">
        <v>26</v>
      </c>
      <c r="E152" s="161">
        <v>25.6</v>
      </c>
      <c r="F152" s="207"/>
    </row>
    <row r="153" spans="1:6" x14ac:dyDescent="0.25">
      <c r="A153" s="124" t="s">
        <v>162</v>
      </c>
      <c r="B153" s="115" t="s">
        <v>163</v>
      </c>
      <c r="C153" s="162">
        <f>SUM(C154:C158)</f>
        <v>11280</v>
      </c>
      <c r="D153" s="162">
        <f>SUM(D154:D158)</f>
        <v>10920</v>
      </c>
      <c r="E153" s="162">
        <f>SUM(E154:E158)</f>
        <v>10792.82</v>
      </c>
      <c r="F153" s="205"/>
    </row>
    <row r="154" spans="1:6" x14ac:dyDescent="0.25">
      <c r="A154" s="122" t="s">
        <v>164</v>
      </c>
      <c r="B154" s="113" t="s">
        <v>165</v>
      </c>
      <c r="C154" s="161">
        <v>6850</v>
      </c>
      <c r="D154" s="161">
        <v>6850</v>
      </c>
      <c r="E154" s="161">
        <v>6842.74</v>
      </c>
      <c r="F154" s="207"/>
    </row>
    <row r="155" spans="1:6" x14ac:dyDescent="0.25">
      <c r="A155" s="122" t="s">
        <v>166</v>
      </c>
      <c r="B155" s="113" t="s">
        <v>167</v>
      </c>
      <c r="C155" s="161">
        <v>1000</v>
      </c>
      <c r="D155" s="161">
        <v>1000</v>
      </c>
      <c r="E155" s="161">
        <v>836.9</v>
      </c>
      <c r="F155" s="207"/>
    </row>
    <row r="156" spans="1:6" x14ac:dyDescent="0.25">
      <c r="A156" s="122" t="s">
        <v>168</v>
      </c>
      <c r="B156" s="113" t="s">
        <v>169</v>
      </c>
      <c r="C156" s="161">
        <v>190</v>
      </c>
      <c r="D156" s="161">
        <v>220</v>
      </c>
      <c r="E156" s="161">
        <v>220</v>
      </c>
      <c r="F156" s="207"/>
    </row>
    <row r="157" spans="1:6" x14ac:dyDescent="0.25">
      <c r="A157" s="122" t="s">
        <v>170</v>
      </c>
      <c r="B157" s="113" t="s">
        <v>171</v>
      </c>
      <c r="C157" s="161">
        <v>240</v>
      </c>
      <c r="D157" s="161">
        <v>0</v>
      </c>
      <c r="E157" s="161">
        <v>0</v>
      </c>
      <c r="F157" s="207"/>
    </row>
    <row r="158" spans="1:6" x14ac:dyDescent="0.25">
      <c r="A158" s="140" t="s">
        <v>172</v>
      </c>
      <c r="B158" s="354" t="s">
        <v>163</v>
      </c>
      <c r="C158" s="361">
        <v>3000</v>
      </c>
      <c r="D158" s="361">
        <v>2850</v>
      </c>
      <c r="E158" s="361">
        <v>2893.18</v>
      </c>
      <c r="F158" s="355"/>
    </row>
    <row r="159" spans="1:6" x14ac:dyDescent="0.25">
      <c r="A159" s="352" t="s">
        <v>210</v>
      </c>
      <c r="B159" s="142" t="s">
        <v>216</v>
      </c>
      <c r="C159" s="360">
        <f t="shared" ref="C159:E160" si="16">C160</f>
        <v>2550</v>
      </c>
      <c r="D159" s="360">
        <f t="shared" si="16"/>
        <v>3050</v>
      </c>
      <c r="E159" s="360">
        <f t="shared" si="16"/>
        <v>2914.75</v>
      </c>
      <c r="F159" s="353">
        <f t="shared" si="15"/>
        <v>95.56557377049181</v>
      </c>
    </row>
    <row r="160" spans="1:6" x14ac:dyDescent="0.25">
      <c r="A160" s="227" t="s">
        <v>173</v>
      </c>
      <c r="B160" s="126" t="s">
        <v>174</v>
      </c>
      <c r="C160" s="334">
        <f t="shared" si="16"/>
        <v>2550</v>
      </c>
      <c r="D160" s="334">
        <f t="shared" si="16"/>
        <v>3050</v>
      </c>
      <c r="E160" s="334">
        <f t="shared" si="16"/>
        <v>2914.75</v>
      </c>
      <c r="F160" s="335"/>
    </row>
    <row r="161" spans="1:23" ht="13.8" thickBot="1" x14ac:dyDescent="0.3">
      <c r="A161" s="125" t="s">
        <v>175</v>
      </c>
      <c r="B161" s="116" t="s">
        <v>176</v>
      </c>
      <c r="C161" s="375">
        <v>2550</v>
      </c>
      <c r="D161" s="375">
        <v>3050</v>
      </c>
      <c r="E161" s="375">
        <v>2914.75</v>
      </c>
      <c r="F161" s="208"/>
    </row>
    <row r="162" spans="1:23" s="102" customFormat="1" ht="13.8" thickTop="1" x14ac:dyDescent="0.25">
      <c r="A162" s="182"/>
      <c r="B162" s="183"/>
      <c r="C162" s="316"/>
      <c r="D162" s="316"/>
      <c r="E162" s="316"/>
      <c r="F162" s="209"/>
    </row>
    <row r="163" spans="1:23" s="153" customFormat="1" ht="16.5" customHeight="1" x14ac:dyDescent="0.25">
      <c r="A163" s="160" t="s">
        <v>305</v>
      </c>
      <c r="B163" s="146"/>
      <c r="C163" s="315"/>
      <c r="D163" s="315"/>
      <c r="E163" s="315"/>
      <c r="F163" s="204"/>
    </row>
    <row r="164" spans="1:23" s="153" customFormat="1" ht="12.75" customHeight="1" x14ac:dyDescent="0.25">
      <c r="A164" s="160"/>
      <c r="B164" s="146"/>
      <c r="C164" s="315"/>
      <c r="D164" s="315"/>
      <c r="E164" s="315"/>
      <c r="F164" s="204"/>
    </row>
    <row r="165" spans="1:23" s="102" customFormat="1" x14ac:dyDescent="0.25">
      <c r="A165" s="111" t="s">
        <v>326</v>
      </c>
      <c r="B165" s="101"/>
      <c r="C165" s="311"/>
      <c r="D165" s="311"/>
      <c r="E165" s="311"/>
      <c r="F165" s="186"/>
      <c r="G165" s="110"/>
      <c r="H165" s="110"/>
      <c r="I165" s="110"/>
      <c r="J165" s="110"/>
      <c r="K165" s="110"/>
      <c r="L165" s="110"/>
      <c r="M165" s="110"/>
      <c r="N165" s="110"/>
      <c r="O165" s="110"/>
      <c r="P165" s="110"/>
      <c r="Q165" s="110"/>
      <c r="R165" s="110"/>
      <c r="S165" s="110"/>
      <c r="T165" s="110"/>
      <c r="U165" s="110"/>
      <c r="V165" s="110"/>
      <c r="W165" s="110"/>
    </row>
    <row r="166" spans="1:23" s="102" customFormat="1" ht="13.8" thickBot="1" x14ac:dyDescent="0.3">
      <c r="A166" s="390"/>
      <c r="B166" s="390"/>
      <c r="C166" s="390"/>
      <c r="D166" s="390"/>
      <c r="E166" s="390"/>
      <c r="F166" s="390"/>
    </row>
    <row r="167" spans="1:23" s="102" customFormat="1" ht="40.799999999999997" thickTop="1" thickBot="1" x14ac:dyDescent="0.3">
      <c r="A167" s="117" t="s">
        <v>304</v>
      </c>
      <c r="B167" s="118" t="s">
        <v>259</v>
      </c>
      <c r="C167" s="118" t="s">
        <v>359</v>
      </c>
      <c r="D167" s="118" t="s">
        <v>360</v>
      </c>
      <c r="E167" s="118" t="s">
        <v>374</v>
      </c>
      <c r="F167" s="187" t="s">
        <v>260</v>
      </c>
    </row>
    <row r="168" spans="1:23" s="102" customFormat="1" ht="14.4" thickTop="1" thickBot="1" x14ac:dyDescent="0.3">
      <c r="A168" s="491">
        <v>1</v>
      </c>
      <c r="B168" s="492"/>
      <c r="C168" s="118">
        <v>2</v>
      </c>
      <c r="D168" s="118">
        <v>3</v>
      </c>
      <c r="E168" s="118">
        <v>4</v>
      </c>
      <c r="F168" s="187" t="s">
        <v>261</v>
      </c>
    </row>
    <row r="169" spans="1:23" ht="13.8" thickTop="1" x14ac:dyDescent="0.25">
      <c r="A169" s="350" t="s">
        <v>7</v>
      </c>
      <c r="B169" s="135" t="s">
        <v>219</v>
      </c>
      <c r="C169" s="359">
        <f t="shared" ref="C169:E170" si="17">C170</f>
        <v>10500</v>
      </c>
      <c r="D169" s="359">
        <f t="shared" si="17"/>
        <v>6422</v>
      </c>
      <c r="E169" s="359">
        <f t="shared" si="17"/>
        <v>6421.68</v>
      </c>
      <c r="F169" s="351">
        <f t="shared" ref="F169:F170" si="18">E169/D169*100</f>
        <v>99.995017128620361</v>
      </c>
    </row>
    <row r="170" spans="1:23" x14ac:dyDescent="0.25">
      <c r="A170" s="352" t="s">
        <v>213</v>
      </c>
      <c r="B170" s="142" t="s">
        <v>220</v>
      </c>
      <c r="C170" s="360">
        <f t="shared" si="17"/>
        <v>10500</v>
      </c>
      <c r="D170" s="360">
        <f t="shared" si="17"/>
        <v>6422</v>
      </c>
      <c r="E170" s="360">
        <f t="shared" si="17"/>
        <v>6421.68</v>
      </c>
      <c r="F170" s="353">
        <f t="shared" si="18"/>
        <v>99.995017128620361</v>
      </c>
    </row>
    <row r="171" spans="1:23" x14ac:dyDescent="0.25">
      <c r="A171" s="227" t="s">
        <v>179</v>
      </c>
      <c r="B171" s="126" t="s">
        <v>180</v>
      </c>
      <c r="C171" s="334">
        <f>SUM(C172:C173)</f>
        <v>10500</v>
      </c>
      <c r="D171" s="334">
        <f>SUM(D172:D173)</f>
        <v>6422</v>
      </c>
      <c r="E171" s="334">
        <f>SUM(E172:E173)</f>
        <v>6421.68</v>
      </c>
      <c r="F171" s="335"/>
    </row>
    <row r="172" spans="1:23" x14ac:dyDescent="0.25">
      <c r="A172" s="122" t="s">
        <v>181</v>
      </c>
      <c r="B172" s="113" t="s">
        <v>182</v>
      </c>
      <c r="C172" s="161">
        <v>9500</v>
      </c>
      <c r="D172" s="161">
        <v>6422</v>
      </c>
      <c r="E172" s="161">
        <v>6421.68</v>
      </c>
      <c r="F172" s="207"/>
    </row>
    <row r="173" spans="1:23" ht="13.8" thickBot="1" x14ac:dyDescent="0.3">
      <c r="A173" s="125" t="s">
        <v>183</v>
      </c>
      <c r="B173" s="116" t="s">
        <v>184</v>
      </c>
      <c r="C173" s="375">
        <v>1000</v>
      </c>
      <c r="D173" s="375">
        <v>0</v>
      </c>
      <c r="E173" s="375">
        <v>0</v>
      </c>
      <c r="F173" s="208"/>
    </row>
    <row r="174" spans="1:23" s="102" customFormat="1" ht="13.8" thickTop="1" x14ac:dyDescent="0.25">
      <c r="A174" s="182"/>
      <c r="B174" s="183"/>
      <c r="C174" s="316"/>
      <c r="D174" s="333"/>
      <c r="E174" s="316"/>
      <c r="F174" s="209"/>
    </row>
    <row r="175" spans="1:23" s="153" customFormat="1" ht="16.5" customHeight="1" x14ac:dyDescent="0.25">
      <c r="A175" s="160" t="s">
        <v>306</v>
      </c>
      <c r="B175" s="146"/>
      <c r="C175" s="315"/>
      <c r="D175" s="380"/>
      <c r="E175" s="315"/>
      <c r="F175" s="204"/>
    </row>
    <row r="176" spans="1:23" s="153" customFormat="1" ht="12.75" customHeight="1" x14ac:dyDescent="0.25">
      <c r="A176" s="160"/>
      <c r="B176" s="146"/>
      <c r="C176" s="315"/>
      <c r="D176" s="315"/>
      <c r="E176" s="315"/>
      <c r="F176" s="204"/>
    </row>
    <row r="177" spans="1:23" s="102" customFormat="1" x14ac:dyDescent="0.25">
      <c r="A177" s="111" t="s">
        <v>326</v>
      </c>
      <c r="B177" s="101"/>
      <c r="C177" s="311"/>
      <c r="D177" s="311"/>
      <c r="E177" s="311"/>
      <c r="F177" s="186"/>
      <c r="G177" s="110"/>
      <c r="H177" s="110"/>
      <c r="I177" s="110"/>
      <c r="J177" s="110"/>
      <c r="K177" s="110"/>
      <c r="L177" s="110"/>
      <c r="M177" s="110"/>
      <c r="N177" s="110"/>
      <c r="O177" s="110"/>
      <c r="P177" s="110"/>
      <c r="Q177" s="110"/>
      <c r="R177" s="110"/>
      <c r="S177" s="110"/>
      <c r="T177" s="110"/>
      <c r="U177" s="110"/>
      <c r="V177" s="110"/>
      <c r="W177" s="110"/>
    </row>
    <row r="178" spans="1:23" s="102" customFormat="1" ht="13.8" thickBot="1" x14ac:dyDescent="0.3">
      <c r="A178" s="390"/>
      <c r="B178" s="390"/>
      <c r="C178" s="390"/>
      <c r="D178" s="390"/>
      <c r="E178" s="390"/>
      <c r="F178" s="390"/>
    </row>
    <row r="179" spans="1:23" s="102" customFormat="1" ht="40.799999999999997" thickTop="1" thickBot="1" x14ac:dyDescent="0.3">
      <c r="A179" s="117" t="s">
        <v>304</v>
      </c>
      <c r="B179" s="118" t="s">
        <v>259</v>
      </c>
      <c r="C179" s="118" t="s">
        <v>359</v>
      </c>
      <c r="D179" s="118" t="s">
        <v>360</v>
      </c>
      <c r="E179" s="118" t="s">
        <v>374</v>
      </c>
      <c r="F179" s="187" t="s">
        <v>260</v>
      </c>
    </row>
    <row r="180" spans="1:23" s="102" customFormat="1" ht="14.4" thickTop="1" thickBot="1" x14ac:dyDescent="0.3">
      <c r="A180" s="491">
        <v>1</v>
      </c>
      <c r="B180" s="492"/>
      <c r="C180" s="118">
        <v>2</v>
      </c>
      <c r="D180" s="118">
        <v>3</v>
      </c>
      <c r="E180" s="118">
        <v>4</v>
      </c>
      <c r="F180" s="187" t="s">
        <v>261</v>
      </c>
    </row>
    <row r="181" spans="1:23" ht="13.8" thickTop="1" x14ac:dyDescent="0.25">
      <c r="A181" s="350" t="s">
        <v>7</v>
      </c>
      <c r="B181" s="135" t="s">
        <v>219</v>
      </c>
      <c r="C181" s="359">
        <f>C182</f>
        <v>1300</v>
      </c>
      <c r="D181" s="359">
        <f t="shared" ref="D181:E183" si="19">D182</f>
        <v>1300</v>
      </c>
      <c r="E181" s="359">
        <f t="shared" si="19"/>
        <v>1300</v>
      </c>
      <c r="F181" s="351">
        <f>E181/D181*100</f>
        <v>100</v>
      </c>
    </row>
    <row r="182" spans="1:23" x14ac:dyDescent="0.25">
      <c r="A182" s="352" t="s">
        <v>213</v>
      </c>
      <c r="B182" s="142" t="s">
        <v>220</v>
      </c>
      <c r="C182" s="360">
        <f>C183</f>
        <v>1300</v>
      </c>
      <c r="D182" s="360">
        <f t="shared" si="19"/>
        <v>1300</v>
      </c>
      <c r="E182" s="360">
        <f t="shared" si="19"/>
        <v>1300</v>
      </c>
      <c r="F182" s="353">
        <f>E182/D182*100</f>
        <v>100</v>
      </c>
    </row>
    <row r="183" spans="1:23" x14ac:dyDescent="0.25">
      <c r="A183" s="227" t="s">
        <v>191</v>
      </c>
      <c r="B183" s="126" t="s">
        <v>192</v>
      </c>
      <c r="C183" s="334">
        <f>C184</f>
        <v>1300</v>
      </c>
      <c r="D183" s="334">
        <f t="shared" si="19"/>
        <v>1300</v>
      </c>
      <c r="E183" s="334">
        <f t="shared" si="19"/>
        <v>1300</v>
      </c>
      <c r="F183" s="335"/>
    </row>
    <row r="184" spans="1:23" ht="13.8" thickBot="1" x14ac:dyDescent="0.3">
      <c r="A184" s="125" t="s">
        <v>193</v>
      </c>
      <c r="B184" s="116" t="s">
        <v>194</v>
      </c>
      <c r="C184" s="375">
        <v>1300</v>
      </c>
      <c r="D184" s="375">
        <v>1300</v>
      </c>
      <c r="E184" s="375">
        <v>1300</v>
      </c>
      <c r="F184" s="208"/>
    </row>
    <row r="185" spans="1:23" s="102" customFormat="1" ht="13.8" thickTop="1" x14ac:dyDescent="0.25">
      <c r="A185" s="182"/>
      <c r="B185" s="183"/>
      <c r="C185" s="333"/>
      <c r="D185" s="333"/>
      <c r="E185" s="316"/>
      <c r="F185" s="209"/>
    </row>
    <row r="186" spans="1:23" s="153" customFormat="1" ht="16.5" customHeight="1" x14ac:dyDescent="0.25">
      <c r="A186" s="160" t="s">
        <v>307</v>
      </c>
      <c r="B186" s="146"/>
      <c r="C186" s="315"/>
      <c r="D186" s="315"/>
      <c r="E186" s="315"/>
      <c r="F186" s="204"/>
    </row>
    <row r="187" spans="1:23" s="153" customFormat="1" ht="16.5" customHeight="1" x14ac:dyDescent="0.25">
      <c r="A187" s="160" t="s">
        <v>308</v>
      </c>
      <c r="B187" s="146"/>
      <c r="C187" s="315"/>
      <c r="D187" s="315"/>
      <c r="E187" s="315"/>
      <c r="F187" s="204"/>
    </row>
    <row r="188" spans="1:23" s="153" customFormat="1" ht="12.75" customHeight="1" x14ac:dyDescent="0.25">
      <c r="A188" s="160"/>
      <c r="B188" s="146"/>
      <c r="C188" s="315"/>
      <c r="D188" s="315"/>
      <c r="E188" s="315"/>
      <c r="F188" s="204"/>
    </row>
    <row r="189" spans="1:23" s="102" customFormat="1" x14ac:dyDescent="0.25">
      <c r="A189" s="111" t="s">
        <v>327</v>
      </c>
      <c r="B189" s="101"/>
      <c r="C189" s="311"/>
      <c r="D189" s="311"/>
      <c r="E189" s="311"/>
      <c r="F189" s="186"/>
      <c r="G189" s="110"/>
      <c r="H189" s="110"/>
      <c r="I189" s="110"/>
      <c r="J189" s="110"/>
      <c r="K189" s="110"/>
      <c r="L189" s="110"/>
      <c r="M189" s="110"/>
      <c r="N189" s="110"/>
      <c r="O189" s="110"/>
      <c r="P189" s="110"/>
      <c r="Q189" s="110"/>
      <c r="R189" s="110"/>
      <c r="S189" s="110"/>
      <c r="T189" s="110"/>
      <c r="U189" s="110"/>
      <c r="V189" s="110"/>
      <c r="W189" s="110"/>
    </row>
    <row r="190" spans="1:23" s="102" customFormat="1" ht="13.8" thickBot="1" x14ac:dyDescent="0.3">
      <c r="A190" s="390"/>
      <c r="B190" s="390"/>
      <c r="C190" s="390"/>
      <c r="D190" s="390"/>
      <c r="E190" s="390"/>
      <c r="F190" s="390"/>
    </row>
    <row r="191" spans="1:23" s="102" customFormat="1" ht="40.799999999999997" thickTop="1" thickBot="1" x14ac:dyDescent="0.3">
      <c r="A191" s="117" t="s">
        <v>304</v>
      </c>
      <c r="B191" s="118" t="s">
        <v>259</v>
      </c>
      <c r="C191" s="118" t="s">
        <v>359</v>
      </c>
      <c r="D191" s="118" t="s">
        <v>360</v>
      </c>
      <c r="E191" s="118" t="s">
        <v>374</v>
      </c>
      <c r="F191" s="187" t="s">
        <v>260</v>
      </c>
    </row>
    <row r="192" spans="1:23" s="102" customFormat="1" ht="14.4" thickTop="1" thickBot="1" x14ac:dyDescent="0.3">
      <c r="A192" s="491">
        <v>1</v>
      </c>
      <c r="B192" s="492"/>
      <c r="C192" s="118">
        <v>2</v>
      </c>
      <c r="D192" s="118">
        <v>3</v>
      </c>
      <c r="E192" s="118">
        <v>4</v>
      </c>
      <c r="F192" s="187" t="s">
        <v>261</v>
      </c>
    </row>
    <row r="193" spans="1:23" ht="13.8" thickTop="1" x14ac:dyDescent="0.25">
      <c r="A193" s="350" t="s">
        <v>6</v>
      </c>
      <c r="B193" s="135" t="s">
        <v>207</v>
      </c>
      <c r="C193" s="359">
        <f>C194+C201+C204</f>
        <v>128000</v>
      </c>
      <c r="D193" s="359">
        <f>D194+D201+D204</f>
        <v>139420</v>
      </c>
      <c r="E193" s="359">
        <f>E194+E201+E204</f>
        <v>132142.91</v>
      </c>
      <c r="F193" s="351">
        <f t="shared" ref="F193:F204" si="20">E193/D193*100</f>
        <v>94.780454741070159</v>
      </c>
    </row>
    <row r="194" spans="1:23" x14ac:dyDescent="0.25">
      <c r="A194" s="352" t="s">
        <v>208</v>
      </c>
      <c r="B194" s="142" t="s">
        <v>214</v>
      </c>
      <c r="C194" s="360">
        <f>C195+C197+C199</f>
        <v>90000</v>
      </c>
      <c r="D194" s="360">
        <f>D195+D197+D199</f>
        <v>100370</v>
      </c>
      <c r="E194" s="360">
        <f>E195+E197+E199</f>
        <v>93189.08</v>
      </c>
      <c r="F194" s="353">
        <f t="shared" si="20"/>
        <v>92.845551459599491</v>
      </c>
    </row>
    <row r="195" spans="1:23" x14ac:dyDescent="0.25">
      <c r="A195" s="227" t="s">
        <v>106</v>
      </c>
      <c r="B195" s="126" t="s">
        <v>107</v>
      </c>
      <c r="C195" s="334">
        <f>C196</f>
        <v>75000</v>
      </c>
      <c r="D195" s="334">
        <f t="shared" ref="D195:E195" si="21">D196</f>
        <v>86500</v>
      </c>
      <c r="E195" s="334">
        <f t="shared" si="21"/>
        <v>79695.42</v>
      </c>
      <c r="F195" s="335"/>
    </row>
    <row r="196" spans="1:23" x14ac:dyDescent="0.25">
      <c r="A196" s="122" t="s">
        <v>108</v>
      </c>
      <c r="B196" s="113" t="s">
        <v>109</v>
      </c>
      <c r="C196" s="161">
        <v>75000</v>
      </c>
      <c r="D196" s="161">
        <v>86500</v>
      </c>
      <c r="E196" s="161">
        <v>79695.42</v>
      </c>
      <c r="F196" s="207"/>
    </row>
    <row r="197" spans="1:23" x14ac:dyDescent="0.25">
      <c r="A197" s="124" t="s">
        <v>112</v>
      </c>
      <c r="B197" s="115" t="s">
        <v>113</v>
      </c>
      <c r="C197" s="162">
        <f>C198</f>
        <v>2600</v>
      </c>
      <c r="D197" s="162">
        <f>D198</f>
        <v>3100</v>
      </c>
      <c r="E197" s="162">
        <f>E198</f>
        <v>2800</v>
      </c>
      <c r="F197" s="205"/>
    </row>
    <row r="198" spans="1:23" x14ac:dyDescent="0.25">
      <c r="A198" s="122" t="s">
        <v>114</v>
      </c>
      <c r="B198" s="113" t="s">
        <v>113</v>
      </c>
      <c r="C198" s="161">
        <v>2600</v>
      </c>
      <c r="D198" s="161">
        <v>3100</v>
      </c>
      <c r="E198" s="161">
        <v>2800</v>
      </c>
      <c r="F198" s="207"/>
    </row>
    <row r="199" spans="1:23" x14ac:dyDescent="0.25">
      <c r="A199" s="124" t="s">
        <v>115</v>
      </c>
      <c r="B199" s="115" t="s">
        <v>116</v>
      </c>
      <c r="C199" s="162">
        <f>C200</f>
        <v>12400</v>
      </c>
      <c r="D199" s="162">
        <f>D200</f>
        <v>10770</v>
      </c>
      <c r="E199" s="162">
        <f>E200</f>
        <v>10693.66</v>
      </c>
      <c r="F199" s="205"/>
    </row>
    <row r="200" spans="1:23" x14ac:dyDescent="0.25">
      <c r="A200" s="140" t="s">
        <v>117</v>
      </c>
      <c r="B200" s="354" t="s">
        <v>118</v>
      </c>
      <c r="C200" s="361">
        <v>12400</v>
      </c>
      <c r="D200" s="361">
        <v>10770</v>
      </c>
      <c r="E200" s="361">
        <v>10693.66</v>
      </c>
      <c r="F200" s="355"/>
    </row>
    <row r="201" spans="1:23" x14ac:dyDescent="0.25">
      <c r="A201" s="352" t="s">
        <v>209</v>
      </c>
      <c r="B201" s="142" t="s">
        <v>215</v>
      </c>
      <c r="C201" s="360">
        <f>C202</f>
        <v>3000</v>
      </c>
      <c r="D201" s="360">
        <f t="shared" ref="D201:E201" si="22">D202</f>
        <v>3400</v>
      </c>
      <c r="E201" s="360">
        <f t="shared" si="22"/>
        <v>3315.12</v>
      </c>
      <c r="F201" s="353">
        <f t="shared" si="20"/>
        <v>97.503529411764703</v>
      </c>
    </row>
    <row r="202" spans="1:23" x14ac:dyDescent="0.25">
      <c r="A202" s="227" t="s">
        <v>119</v>
      </c>
      <c r="B202" s="126" t="s">
        <v>120</v>
      </c>
      <c r="C202" s="334">
        <f>SUM(C203:C203)</f>
        <v>3000</v>
      </c>
      <c r="D202" s="334">
        <f>SUM(D203:D203)</f>
        <v>3400</v>
      </c>
      <c r="E202" s="334">
        <f>SUM(E203:E203)</f>
        <v>3315.12</v>
      </c>
      <c r="F202" s="335"/>
    </row>
    <row r="203" spans="1:23" x14ac:dyDescent="0.25">
      <c r="A203" s="122" t="s">
        <v>123</v>
      </c>
      <c r="B203" s="113" t="s">
        <v>124</v>
      </c>
      <c r="C203" s="161">
        <v>3000</v>
      </c>
      <c r="D203" s="161">
        <v>3400</v>
      </c>
      <c r="E203" s="161">
        <v>3315.12</v>
      </c>
      <c r="F203" s="207"/>
    </row>
    <row r="204" spans="1:23" s="102" customFormat="1" x14ac:dyDescent="0.25">
      <c r="A204" s="356">
        <v>37</v>
      </c>
      <c r="B204" s="142" t="s">
        <v>328</v>
      </c>
      <c r="C204" s="323">
        <f>C205</f>
        <v>35000</v>
      </c>
      <c r="D204" s="323">
        <f t="shared" ref="C204:E205" si="23">D205</f>
        <v>35650</v>
      </c>
      <c r="E204" s="323">
        <f t="shared" si="23"/>
        <v>35638.71</v>
      </c>
      <c r="F204" s="79">
        <f t="shared" si="20"/>
        <v>99.968330995792414</v>
      </c>
      <c r="G204" s="238"/>
    </row>
    <row r="205" spans="1:23" s="102" customFormat="1" x14ac:dyDescent="0.25">
      <c r="A205" s="131">
        <v>372</v>
      </c>
      <c r="B205" s="126" t="s">
        <v>329</v>
      </c>
      <c r="C205" s="320">
        <f t="shared" si="23"/>
        <v>35000</v>
      </c>
      <c r="D205" s="320">
        <f t="shared" si="23"/>
        <v>35650</v>
      </c>
      <c r="E205" s="320">
        <f t="shared" si="23"/>
        <v>35638.71</v>
      </c>
      <c r="F205" s="71"/>
      <c r="G205" s="238"/>
    </row>
    <row r="206" spans="1:23" s="102" customFormat="1" ht="13.8" thickBot="1" x14ac:dyDescent="0.3">
      <c r="A206" s="236">
        <v>3722</v>
      </c>
      <c r="B206" s="237" t="s">
        <v>330</v>
      </c>
      <c r="C206" s="329">
        <v>35000</v>
      </c>
      <c r="D206" s="329">
        <v>35650</v>
      </c>
      <c r="E206" s="329">
        <v>35638.71</v>
      </c>
      <c r="F206" s="91"/>
      <c r="G206" s="239"/>
    </row>
    <row r="207" spans="1:23" s="102" customFormat="1" ht="13.8" thickTop="1" x14ac:dyDescent="0.25">
      <c r="A207" s="182"/>
      <c r="B207" s="183"/>
      <c r="C207" s="316"/>
      <c r="D207" s="316"/>
      <c r="E207" s="316"/>
      <c r="F207" s="209"/>
    </row>
    <row r="208" spans="1:23" s="102" customFormat="1" x14ac:dyDescent="0.25">
      <c r="A208" s="111" t="s">
        <v>319</v>
      </c>
      <c r="B208" s="101"/>
      <c r="C208" s="311"/>
      <c r="D208" s="311"/>
      <c r="E208" s="311"/>
      <c r="F208" s="186"/>
      <c r="G208" s="110"/>
      <c r="H208" s="110"/>
      <c r="I208" s="110"/>
      <c r="J208" s="110"/>
      <c r="K208" s="110"/>
      <c r="L208" s="110"/>
      <c r="M208" s="110"/>
      <c r="N208" s="110"/>
      <c r="O208" s="110"/>
      <c r="P208" s="110"/>
      <c r="Q208" s="110"/>
      <c r="R208" s="110"/>
      <c r="S208" s="110"/>
      <c r="T208" s="110"/>
      <c r="U208" s="110"/>
      <c r="V208" s="110"/>
      <c r="W208" s="110"/>
    </row>
    <row r="209" spans="1:6" s="102" customFormat="1" ht="13.8" thickBot="1" x14ac:dyDescent="0.3">
      <c r="A209" s="390"/>
      <c r="B209" s="390"/>
      <c r="C209" s="390"/>
      <c r="D209" s="390"/>
      <c r="E209" s="390"/>
      <c r="F209" s="390"/>
    </row>
    <row r="210" spans="1:6" s="102" customFormat="1" ht="40.799999999999997" thickTop="1" thickBot="1" x14ac:dyDescent="0.3">
      <c r="A210" s="117" t="s">
        <v>304</v>
      </c>
      <c r="B210" s="118" t="s">
        <v>259</v>
      </c>
      <c r="C210" s="118" t="s">
        <v>359</v>
      </c>
      <c r="D210" s="118" t="s">
        <v>360</v>
      </c>
      <c r="E210" s="118" t="s">
        <v>374</v>
      </c>
      <c r="F210" s="187" t="s">
        <v>260</v>
      </c>
    </row>
    <row r="211" spans="1:6" s="102" customFormat="1" ht="14.4" thickTop="1" thickBot="1" x14ac:dyDescent="0.3">
      <c r="A211" s="491">
        <v>1</v>
      </c>
      <c r="B211" s="492"/>
      <c r="C211" s="118">
        <v>2</v>
      </c>
      <c r="D211" s="118">
        <v>3</v>
      </c>
      <c r="E211" s="118">
        <v>4</v>
      </c>
      <c r="F211" s="187" t="s">
        <v>261</v>
      </c>
    </row>
    <row r="212" spans="1:6" ht="13.8" thickTop="1" x14ac:dyDescent="0.25">
      <c r="A212" s="350" t="s">
        <v>6</v>
      </c>
      <c r="B212" s="135" t="s">
        <v>207</v>
      </c>
      <c r="C212" s="359">
        <f>C213+C216+C227</f>
        <v>22700</v>
      </c>
      <c r="D212" s="359">
        <f>D213+D216+D227</f>
        <v>22700</v>
      </c>
      <c r="E212" s="359">
        <f>E213+E216+E227</f>
        <v>13734</v>
      </c>
      <c r="F212" s="351">
        <f t="shared" ref="F212:F227" si="24">E212/D212*100</f>
        <v>60.502202643171813</v>
      </c>
    </row>
    <row r="213" spans="1:6" s="102" customFormat="1" x14ac:dyDescent="0.25">
      <c r="A213" s="352" t="s">
        <v>208</v>
      </c>
      <c r="B213" s="142" t="s">
        <v>214</v>
      </c>
      <c r="C213" s="360">
        <f t="shared" ref="C213:E214" si="25">C214</f>
        <v>1000</v>
      </c>
      <c r="D213" s="360">
        <f t="shared" si="25"/>
        <v>460</v>
      </c>
      <c r="E213" s="360">
        <f t="shared" si="25"/>
        <v>455</v>
      </c>
      <c r="F213" s="353">
        <f t="shared" si="24"/>
        <v>98.91304347826086</v>
      </c>
    </row>
    <row r="214" spans="1:6" s="102" customFormat="1" x14ac:dyDescent="0.25">
      <c r="A214" s="227" t="s">
        <v>112</v>
      </c>
      <c r="B214" s="126" t="s">
        <v>113</v>
      </c>
      <c r="C214" s="334">
        <f t="shared" si="25"/>
        <v>1000</v>
      </c>
      <c r="D214" s="334">
        <f t="shared" si="25"/>
        <v>460</v>
      </c>
      <c r="E214" s="334">
        <f t="shared" si="25"/>
        <v>455</v>
      </c>
      <c r="F214" s="335"/>
    </row>
    <row r="215" spans="1:6" s="102" customFormat="1" x14ac:dyDescent="0.25">
      <c r="A215" s="140" t="s">
        <v>114</v>
      </c>
      <c r="B215" s="354" t="s">
        <v>113</v>
      </c>
      <c r="C215" s="361">
        <v>1000</v>
      </c>
      <c r="D215" s="361">
        <v>460</v>
      </c>
      <c r="E215" s="361">
        <v>455</v>
      </c>
      <c r="F215" s="355"/>
    </row>
    <row r="216" spans="1:6" x14ac:dyDescent="0.25">
      <c r="A216" s="352" t="s">
        <v>209</v>
      </c>
      <c r="B216" s="142" t="s">
        <v>215</v>
      </c>
      <c r="C216" s="360">
        <f>C217+C221+C225</f>
        <v>20090</v>
      </c>
      <c r="D216" s="360">
        <f>D217+D221+D225</f>
        <v>19805</v>
      </c>
      <c r="E216" s="360">
        <f t="shared" ref="E216" si="26">E217+E221+E225</f>
        <v>10848.61</v>
      </c>
      <c r="F216" s="353">
        <f t="shared" si="24"/>
        <v>54.77712698813432</v>
      </c>
    </row>
    <row r="217" spans="1:6" s="102" customFormat="1" x14ac:dyDescent="0.25">
      <c r="A217" s="227" t="s">
        <v>127</v>
      </c>
      <c r="B217" s="126" t="s">
        <v>128</v>
      </c>
      <c r="C217" s="334">
        <f>SUM(C218:C220)</f>
        <v>17440</v>
      </c>
      <c r="D217" s="334">
        <f>SUM(D218:D220)</f>
        <v>17295</v>
      </c>
      <c r="E217" s="334">
        <f>SUM(E218:E220)</f>
        <v>9387.59</v>
      </c>
      <c r="F217" s="335"/>
    </row>
    <row r="218" spans="1:6" s="102" customFormat="1" x14ac:dyDescent="0.25">
      <c r="A218" s="122" t="s">
        <v>129</v>
      </c>
      <c r="B218" s="113" t="s">
        <v>130</v>
      </c>
      <c r="C218" s="161">
        <v>3840</v>
      </c>
      <c r="D218" s="161">
        <v>4380</v>
      </c>
      <c r="E218" s="161">
        <v>4072.51</v>
      </c>
      <c r="F218" s="207"/>
    </row>
    <row r="219" spans="1:6" s="102" customFormat="1" x14ac:dyDescent="0.25">
      <c r="A219" s="122" t="s">
        <v>131</v>
      </c>
      <c r="B219" s="113" t="s">
        <v>132</v>
      </c>
      <c r="C219" s="161">
        <v>13000</v>
      </c>
      <c r="D219" s="161">
        <v>12915</v>
      </c>
      <c r="E219" s="161">
        <v>5315.08</v>
      </c>
      <c r="F219" s="207"/>
    </row>
    <row r="220" spans="1:6" s="102" customFormat="1" x14ac:dyDescent="0.25">
      <c r="A220" s="122" t="s">
        <v>135</v>
      </c>
      <c r="B220" s="113" t="s">
        <v>136</v>
      </c>
      <c r="C220" s="161">
        <v>600</v>
      </c>
      <c r="D220" s="161">
        <v>0</v>
      </c>
      <c r="E220" s="161">
        <v>0</v>
      </c>
      <c r="F220" s="207"/>
    </row>
    <row r="221" spans="1:6" s="102" customFormat="1" x14ac:dyDescent="0.25">
      <c r="A221" s="124" t="s">
        <v>139</v>
      </c>
      <c r="B221" s="115" t="s">
        <v>140</v>
      </c>
      <c r="C221" s="162">
        <f>SUM(C222:C224)</f>
        <v>1650</v>
      </c>
      <c r="D221" s="162">
        <f t="shared" ref="D221:E221" si="27">SUM(D222:D224)</f>
        <v>1510</v>
      </c>
      <c r="E221" s="162">
        <f t="shared" si="27"/>
        <v>1461.02</v>
      </c>
      <c r="F221" s="205"/>
    </row>
    <row r="222" spans="1:6" s="102" customFormat="1" x14ac:dyDescent="0.25">
      <c r="A222" s="122" t="s">
        <v>141</v>
      </c>
      <c r="B222" s="113" t="s">
        <v>142</v>
      </c>
      <c r="C222" s="161">
        <v>1600</v>
      </c>
      <c r="D222" s="161">
        <v>750</v>
      </c>
      <c r="E222" s="161">
        <v>701.04</v>
      </c>
      <c r="F222" s="207"/>
    </row>
    <row r="223" spans="1:6" s="102" customFormat="1" x14ac:dyDescent="0.25">
      <c r="A223" s="122" t="s">
        <v>153</v>
      </c>
      <c r="B223" s="113" t="s">
        <v>154</v>
      </c>
      <c r="C223" s="161">
        <v>50</v>
      </c>
      <c r="D223" s="161">
        <v>0</v>
      </c>
      <c r="E223" s="161">
        <v>0</v>
      </c>
      <c r="F223" s="207"/>
    </row>
    <row r="224" spans="1:6" s="102" customFormat="1" x14ac:dyDescent="0.25">
      <c r="A224" s="122" t="s">
        <v>157</v>
      </c>
      <c r="B224" s="113" t="s">
        <v>158</v>
      </c>
      <c r="C224" s="161">
        <v>0</v>
      </c>
      <c r="D224" s="161">
        <v>760</v>
      </c>
      <c r="E224" s="161">
        <v>759.98</v>
      </c>
      <c r="F224" s="207"/>
    </row>
    <row r="225" spans="1:23" s="102" customFormat="1" x14ac:dyDescent="0.25">
      <c r="A225" s="124" t="s">
        <v>162</v>
      </c>
      <c r="B225" s="115" t="s">
        <v>163</v>
      </c>
      <c r="C225" s="162">
        <f>C226</f>
        <v>1000</v>
      </c>
      <c r="D225" s="162">
        <f t="shared" ref="D225:E225" si="28">D226</f>
        <v>1000</v>
      </c>
      <c r="E225" s="162">
        <f t="shared" si="28"/>
        <v>0</v>
      </c>
      <c r="F225" s="205"/>
    </row>
    <row r="226" spans="1:23" s="102" customFormat="1" x14ac:dyDescent="0.25">
      <c r="A226" s="140" t="s">
        <v>166</v>
      </c>
      <c r="B226" s="354" t="s">
        <v>167</v>
      </c>
      <c r="C226" s="361">
        <v>1000</v>
      </c>
      <c r="D226" s="361">
        <v>1000</v>
      </c>
      <c r="E226" s="361">
        <v>0</v>
      </c>
      <c r="F226" s="355"/>
    </row>
    <row r="227" spans="1:23" s="102" customFormat="1" x14ac:dyDescent="0.25">
      <c r="A227" s="352" t="s">
        <v>212</v>
      </c>
      <c r="B227" s="142" t="s">
        <v>218</v>
      </c>
      <c r="C227" s="360">
        <f>C228+C230</f>
        <v>1610</v>
      </c>
      <c r="D227" s="360">
        <f t="shared" ref="D227:E227" si="29">D228+D230</f>
        <v>2435</v>
      </c>
      <c r="E227" s="360">
        <f t="shared" si="29"/>
        <v>2430.39</v>
      </c>
      <c r="F227" s="353">
        <f t="shared" si="24"/>
        <v>99.810677618069803</v>
      </c>
    </row>
    <row r="228" spans="1:23" s="102" customFormat="1" x14ac:dyDescent="0.25">
      <c r="A228" s="227">
        <v>381</v>
      </c>
      <c r="B228" s="126" t="s">
        <v>344</v>
      </c>
      <c r="C228" s="334">
        <f t="shared" ref="C228:E228" si="30">C229</f>
        <v>10</v>
      </c>
      <c r="D228" s="334">
        <f t="shared" si="30"/>
        <v>10</v>
      </c>
      <c r="E228" s="334">
        <f t="shared" si="30"/>
        <v>5.35</v>
      </c>
      <c r="F228" s="335"/>
    </row>
    <row r="229" spans="1:23" s="102" customFormat="1" x14ac:dyDescent="0.25">
      <c r="A229" s="122">
        <v>3812</v>
      </c>
      <c r="B229" s="113" t="s">
        <v>345</v>
      </c>
      <c r="C229" s="161">
        <v>10</v>
      </c>
      <c r="D229" s="161">
        <v>10</v>
      </c>
      <c r="E229" s="161">
        <v>5.35</v>
      </c>
      <c r="F229" s="207"/>
    </row>
    <row r="230" spans="1:23" s="102" customFormat="1" x14ac:dyDescent="0.25">
      <c r="A230" s="227" t="s">
        <v>195</v>
      </c>
      <c r="B230" s="126" t="s">
        <v>196</v>
      </c>
      <c r="C230" s="334">
        <f t="shared" ref="C230:E230" si="31">C231</f>
        <v>1600</v>
      </c>
      <c r="D230" s="334">
        <f t="shared" si="31"/>
        <v>2425</v>
      </c>
      <c r="E230" s="334">
        <f t="shared" si="31"/>
        <v>2425.04</v>
      </c>
      <c r="F230" s="335"/>
    </row>
    <row r="231" spans="1:23" s="102" customFormat="1" ht="13.8" thickBot="1" x14ac:dyDescent="0.3">
      <c r="A231" s="125" t="s">
        <v>197</v>
      </c>
      <c r="B231" s="116" t="s">
        <v>198</v>
      </c>
      <c r="C231" s="375">
        <v>1600</v>
      </c>
      <c r="D231" s="375">
        <v>2425</v>
      </c>
      <c r="E231" s="375">
        <v>2425.04</v>
      </c>
      <c r="F231" s="208"/>
    </row>
    <row r="232" spans="1:23" s="102" customFormat="1" ht="13.8" thickTop="1" x14ac:dyDescent="0.25">
      <c r="A232" s="182"/>
      <c r="B232" s="183"/>
      <c r="C232" s="316"/>
      <c r="D232" s="316"/>
      <c r="E232" s="333"/>
      <c r="F232" s="209"/>
    </row>
    <row r="233" spans="1:23" s="102" customFormat="1" x14ac:dyDescent="0.25">
      <c r="A233" s="111" t="s">
        <v>320</v>
      </c>
      <c r="B233" s="101"/>
      <c r="C233" s="311"/>
      <c r="D233" s="311"/>
      <c r="E233" s="311"/>
      <c r="F233" s="186"/>
      <c r="G233" s="110"/>
      <c r="H233" s="110"/>
      <c r="I233" s="110"/>
      <c r="J233" s="110"/>
      <c r="K233" s="110"/>
      <c r="L233" s="110"/>
      <c r="M233" s="110"/>
      <c r="N233" s="110"/>
      <c r="O233" s="110"/>
      <c r="P233" s="110"/>
      <c r="Q233" s="110"/>
      <c r="R233" s="110"/>
      <c r="S233" s="110"/>
      <c r="T233" s="110"/>
      <c r="U233" s="110"/>
      <c r="V233" s="110"/>
      <c r="W233" s="110"/>
    </row>
    <row r="234" spans="1:23" s="102" customFormat="1" ht="13.8" thickBot="1" x14ac:dyDescent="0.3">
      <c r="A234" s="390"/>
      <c r="B234" s="390"/>
      <c r="C234" s="390"/>
      <c r="D234" s="390"/>
      <c r="E234" s="390"/>
      <c r="F234" s="390"/>
    </row>
    <row r="235" spans="1:23" s="102" customFormat="1" ht="40.799999999999997" thickTop="1" thickBot="1" x14ac:dyDescent="0.3">
      <c r="A235" s="117" t="s">
        <v>304</v>
      </c>
      <c r="B235" s="118" t="s">
        <v>259</v>
      </c>
      <c r="C235" s="118" t="s">
        <v>359</v>
      </c>
      <c r="D235" s="118" t="s">
        <v>360</v>
      </c>
      <c r="E235" s="118" t="s">
        <v>374</v>
      </c>
      <c r="F235" s="187" t="s">
        <v>260</v>
      </c>
    </row>
    <row r="236" spans="1:23" s="102" customFormat="1" ht="14.4" thickTop="1" thickBot="1" x14ac:dyDescent="0.3">
      <c r="A236" s="491">
        <v>1</v>
      </c>
      <c r="B236" s="492"/>
      <c r="C236" s="118">
        <v>2</v>
      </c>
      <c r="D236" s="118">
        <v>3</v>
      </c>
      <c r="E236" s="118">
        <v>4</v>
      </c>
      <c r="F236" s="187" t="s">
        <v>261</v>
      </c>
    </row>
    <row r="237" spans="1:23" ht="13.8" thickTop="1" x14ac:dyDescent="0.25">
      <c r="A237" s="350" t="s">
        <v>6</v>
      </c>
      <c r="B237" s="135" t="s">
        <v>207</v>
      </c>
      <c r="C237" s="359">
        <f>C238+C245</f>
        <v>56130</v>
      </c>
      <c r="D237" s="359">
        <f t="shared" ref="D237:E237" si="32">D238+D245</f>
        <v>56130</v>
      </c>
      <c r="E237" s="359">
        <f t="shared" si="32"/>
        <v>50746.819999999992</v>
      </c>
      <c r="F237" s="351">
        <f t="shared" ref="F237:F245" si="33">E237/D237*100</f>
        <v>90.409442365936215</v>
      </c>
    </row>
    <row r="238" spans="1:23" s="102" customFormat="1" x14ac:dyDescent="0.25">
      <c r="A238" s="352" t="s">
        <v>208</v>
      </c>
      <c r="B238" s="142" t="s">
        <v>214</v>
      </c>
      <c r="C238" s="360">
        <f>C239+C243</f>
        <v>25000</v>
      </c>
      <c r="D238" s="360">
        <f t="shared" ref="D238:E238" si="34">D239+D243</f>
        <v>25390</v>
      </c>
      <c r="E238" s="360">
        <f t="shared" si="34"/>
        <v>23171.3</v>
      </c>
      <c r="F238" s="353">
        <f t="shared" si="33"/>
        <v>91.261520283576203</v>
      </c>
    </row>
    <row r="239" spans="1:23" s="102" customFormat="1" x14ac:dyDescent="0.25">
      <c r="A239" s="227" t="s">
        <v>106</v>
      </c>
      <c r="B239" s="126" t="s">
        <v>107</v>
      </c>
      <c r="C239" s="334">
        <f>SUM(C240:C242)</f>
        <v>21000</v>
      </c>
      <c r="D239" s="334">
        <f t="shared" ref="D239:E239" si="35">SUM(D240:D242)</f>
        <v>21390</v>
      </c>
      <c r="E239" s="334">
        <f t="shared" si="35"/>
        <v>21374.78</v>
      </c>
      <c r="F239" s="335"/>
    </row>
    <row r="240" spans="1:23" s="102" customFormat="1" x14ac:dyDescent="0.25">
      <c r="A240" s="122" t="s">
        <v>108</v>
      </c>
      <c r="B240" s="113" t="s">
        <v>109</v>
      </c>
      <c r="C240" s="161">
        <v>21000</v>
      </c>
      <c r="D240" s="161">
        <v>21000</v>
      </c>
      <c r="E240" s="161">
        <v>20992.14</v>
      </c>
      <c r="F240" s="207"/>
    </row>
    <row r="241" spans="1:23" s="102" customFormat="1" x14ac:dyDescent="0.25">
      <c r="A241" s="122" t="s">
        <v>110</v>
      </c>
      <c r="B241" s="113" t="s">
        <v>111</v>
      </c>
      <c r="C241" s="161">
        <v>0</v>
      </c>
      <c r="D241" s="161">
        <v>380</v>
      </c>
      <c r="E241" s="161">
        <v>375.6</v>
      </c>
      <c r="F241" s="207"/>
    </row>
    <row r="242" spans="1:23" s="102" customFormat="1" x14ac:dyDescent="0.25">
      <c r="A242" s="122" t="s">
        <v>203</v>
      </c>
      <c r="B242" s="113" t="s">
        <v>204</v>
      </c>
      <c r="C242" s="161">
        <v>0</v>
      </c>
      <c r="D242" s="161">
        <v>10</v>
      </c>
      <c r="E242" s="161">
        <v>7.04</v>
      </c>
      <c r="F242" s="207"/>
    </row>
    <row r="243" spans="1:23" s="102" customFormat="1" x14ac:dyDescent="0.25">
      <c r="A243" s="124" t="s">
        <v>115</v>
      </c>
      <c r="B243" s="115" t="s">
        <v>116</v>
      </c>
      <c r="C243" s="162">
        <f>C244</f>
        <v>4000</v>
      </c>
      <c r="D243" s="162">
        <f>D244</f>
        <v>4000</v>
      </c>
      <c r="E243" s="162">
        <f>E244</f>
        <v>1796.52</v>
      </c>
      <c r="F243" s="205"/>
    </row>
    <row r="244" spans="1:23" s="102" customFormat="1" x14ac:dyDescent="0.25">
      <c r="A244" s="140" t="s">
        <v>117</v>
      </c>
      <c r="B244" s="354" t="s">
        <v>118</v>
      </c>
      <c r="C244" s="361">
        <v>4000</v>
      </c>
      <c r="D244" s="361">
        <v>4000</v>
      </c>
      <c r="E244" s="361">
        <v>1796.52</v>
      </c>
      <c r="F244" s="355"/>
    </row>
    <row r="245" spans="1:23" x14ac:dyDescent="0.25">
      <c r="A245" s="352" t="s">
        <v>209</v>
      </c>
      <c r="B245" s="142" t="s">
        <v>215</v>
      </c>
      <c r="C245" s="360">
        <f>C246+C250+C252</f>
        <v>31130</v>
      </c>
      <c r="D245" s="360">
        <f t="shared" ref="D245:E245" si="36">D246+D250+D252</f>
        <v>30740</v>
      </c>
      <c r="E245" s="360">
        <f t="shared" si="36"/>
        <v>27575.519999999997</v>
      </c>
      <c r="F245" s="353">
        <f t="shared" si="33"/>
        <v>89.70566037735847</v>
      </c>
    </row>
    <row r="246" spans="1:23" x14ac:dyDescent="0.25">
      <c r="A246" s="227" t="s">
        <v>127</v>
      </c>
      <c r="B246" s="126" t="s">
        <v>128</v>
      </c>
      <c r="C246" s="334">
        <f>SUM(C247:C249)</f>
        <v>29500</v>
      </c>
      <c r="D246" s="334">
        <f>SUM(D247:D249)</f>
        <v>29750</v>
      </c>
      <c r="E246" s="334">
        <f>SUM(E247:E249)</f>
        <v>27467.769999999997</v>
      </c>
      <c r="F246" s="335"/>
    </row>
    <row r="247" spans="1:23" x14ac:dyDescent="0.25">
      <c r="A247" s="122" t="s">
        <v>129</v>
      </c>
      <c r="B247" s="113" t="s">
        <v>130</v>
      </c>
      <c r="C247" s="161">
        <v>2500</v>
      </c>
      <c r="D247" s="161">
        <v>2750</v>
      </c>
      <c r="E247" s="161">
        <v>3410.83</v>
      </c>
      <c r="F247" s="207"/>
    </row>
    <row r="248" spans="1:23" x14ac:dyDescent="0.25">
      <c r="A248" s="122" t="s">
        <v>189</v>
      </c>
      <c r="B248" s="113" t="s">
        <v>190</v>
      </c>
      <c r="C248" s="161">
        <v>26500</v>
      </c>
      <c r="D248" s="161">
        <v>26500</v>
      </c>
      <c r="E248" s="161">
        <v>24056.94</v>
      </c>
      <c r="F248" s="207"/>
    </row>
    <row r="249" spans="1:23" x14ac:dyDescent="0.25">
      <c r="A249" s="122" t="s">
        <v>133</v>
      </c>
      <c r="B249" s="113" t="s">
        <v>134</v>
      </c>
      <c r="C249" s="161">
        <v>500</v>
      </c>
      <c r="D249" s="161">
        <v>500</v>
      </c>
      <c r="E249" s="161">
        <v>0</v>
      </c>
      <c r="F249" s="207"/>
    </row>
    <row r="250" spans="1:23" s="102" customFormat="1" x14ac:dyDescent="0.25">
      <c r="A250" s="124" t="s">
        <v>139</v>
      </c>
      <c r="B250" s="115" t="s">
        <v>140</v>
      </c>
      <c r="C250" s="162">
        <f>C251</f>
        <v>1380</v>
      </c>
      <c r="D250" s="162">
        <f>D251</f>
        <v>940</v>
      </c>
      <c r="E250" s="162">
        <f>E251</f>
        <v>107.75</v>
      </c>
      <c r="F250" s="205"/>
    </row>
    <row r="251" spans="1:23" s="102" customFormat="1" x14ac:dyDescent="0.25">
      <c r="A251" s="122" t="s">
        <v>143</v>
      </c>
      <c r="B251" s="113" t="s">
        <v>144</v>
      </c>
      <c r="C251" s="161">
        <v>1380</v>
      </c>
      <c r="D251" s="161">
        <v>940</v>
      </c>
      <c r="E251" s="161">
        <v>107.75</v>
      </c>
      <c r="F251" s="207"/>
    </row>
    <row r="252" spans="1:23" x14ac:dyDescent="0.25">
      <c r="A252" s="124" t="s">
        <v>159</v>
      </c>
      <c r="B252" s="115" t="s">
        <v>160</v>
      </c>
      <c r="C252" s="162">
        <f>C253</f>
        <v>250</v>
      </c>
      <c r="D252" s="162">
        <f t="shared" ref="D252:E252" si="37">D253</f>
        <v>50</v>
      </c>
      <c r="E252" s="162">
        <f t="shared" si="37"/>
        <v>0</v>
      </c>
      <c r="F252" s="205"/>
    </row>
    <row r="253" spans="1:23" ht="13.8" thickBot="1" x14ac:dyDescent="0.3">
      <c r="A253" s="125" t="s">
        <v>161</v>
      </c>
      <c r="B253" s="116" t="s">
        <v>160</v>
      </c>
      <c r="C253" s="375">
        <v>250</v>
      </c>
      <c r="D253" s="375">
        <v>50</v>
      </c>
      <c r="E253" s="375">
        <v>0</v>
      </c>
      <c r="F253" s="208"/>
    </row>
    <row r="254" spans="1:23" s="102" customFormat="1" ht="13.8" thickTop="1" x14ac:dyDescent="0.25">
      <c r="A254" s="182"/>
      <c r="B254" s="183"/>
      <c r="C254" s="333"/>
      <c r="D254" s="316"/>
      <c r="E254" s="316"/>
      <c r="F254" s="209"/>
    </row>
    <row r="255" spans="1:23" s="102" customFormat="1" x14ac:dyDescent="0.25">
      <c r="A255" s="111" t="s">
        <v>331</v>
      </c>
      <c r="B255" s="101"/>
      <c r="C255" s="311"/>
      <c r="D255" s="311"/>
      <c r="E255" s="311"/>
      <c r="F255" s="186"/>
      <c r="G255" s="110"/>
      <c r="H255" s="110"/>
      <c r="I255" s="110"/>
      <c r="J255" s="110"/>
      <c r="K255" s="110"/>
      <c r="L255" s="110"/>
      <c r="M255" s="110"/>
      <c r="N255" s="110"/>
      <c r="O255" s="110"/>
      <c r="P255" s="110"/>
      <c r="Q255" s="110"/>
      <c r="R255" s="110"/>
      <c r="S255" s="110"/>
      <c r="T255" s="110"/>
      <c r="U255" s="110"/>
      <c r="V255" s="110"/>
      <c r="W255" s="110"/>
    </row>
    <row r="256" spans="1:23" s="102" customFormat="1" ht="13.8" thickBot="1" x14ac:dyDescent="0.3">
      <c r="A256" s="390"/>
      <c r="B256" s="390"/>
      <c r="C256" s="390"/>
      <c r="D256" s="390"/>
      <c r="E256" s="390"/>
      <c r="F256" s="390"/>
    </row>
    <row r="257" spans="1:23" s="102" customFormat="1" ht="40.799999999999997" thickTop="1" thickBot="1" x14ac:dyDescent="0.3">
      <c r="A257" s="117" t="s">
        <v>304</v>
      </c>
      <c r="B257" s="118" t="s">
        <v>259</v>
      </c>
      <c r="C257" s="118" t="s">
        <v>359</v>
      </c>
      <c r="D257" s="118" t="s">
        <v>360</v>
      </c>
      <c r="E257" s="118" t="s">
        <v>374</v>
      </c>
      <c r="F257" s="187" t="s">
        <v>260</v>
      </c>
    </row>
    <row r="258" spans="1:23" s="102" customFormat="1" ht="14.4" thickTop="1" thickBot="1" x14ac:dyDescent="0.3">
      <c r="A258" s="491">
        <v>1</v>
      </c>
      <c r="B258" s="492"/>
      <c r="C258" s="118">
        <v>2</v>
      </c>
      <c r="D258" s="118">
        <v>3</v>
      </c>
      <c r="E258" s="118">
        <v>4</v>
      </c>
      <c r="F258" s="187" t="s">
        <v>261</v>
      </c>
    </row>
    <row r="259" spans="1:23" s="102" customFormat="1" ht="13.8" thickTop="1" x14ac:dyDescent="0.25">
      <c r="A259" s="350" t="s">
        <v>6</v>
      </c>
      <c r="B259" s="135" t="s">
        <v>207</v>
      </c>
      <c r="C259" s="359">
        <f>C260</f>
        <v>14865</v>
      </c>
      <c r="D259" s="359">
        <f t="shared" ref="D259:E259" si="38">D260</f>
        <v>14865</v>
      </c>
      <c r="E259" s="359">
        <f t="shared" si="38"/>
        <v>12706.8</v>
      </c>
      <c r="F259" s="351">
        <f t="shared" ref="F259:F260" si="39">E259/D259*100</f>
        <v>85.481331987891025</v>
      </c>
    </row>
    <row r="260" spans="1:23" s="102" customFormat="1" x14ac:dyDescent="0.25">
      <c r="A260" s="352" t="s">
        <v>209</v>
      </c>
      <c r="B260" s="142" t="s">
        <v>215</v>
      </c>
      <c r="C260" s="360">
        <f>C261+C264</f>
        <v>14865</v>
      </c>
      <c r="D260" s="360">
        <f t="shared" ref="D260:E260" si="40">D261+D264</f>
        <v>14865</v>
      </c>
      <c r="E260" s="360">
        <f t="shared" si="40"/>
        <v>12706.8</v>
      </c>
      <c r="F260" s="353">
        <f t="shared" si="39"/>
        <v>85.481331987891025</v>
      </c>
    </row>
    <row r="261" spans="1:23" s="102" customFormat="1" x14ac:dyDescent="0.25">
      <c r="A261" s="227" t="s">
        <v>127</v>
      </c>
      <c r="B261" s="126" t="s">
        <v>128</v>
      </c>
      <c r="C261" s="334">
        <f>SUM(C262:C263)</f>
        <v>3391</v>
      </c>
      <c r="D261" s="334">
        <f t="shared" ref="D261:E261" si="41">SUM(D262:D263)</f>
        <v>2891</v>
      </c>
      <c r="E261" s="334">
        <f t="shared" si="41"/>
        <v>2833.48</v>
      </c>
      <c r="F261" s="335"/>
    </row>
    <row r="262" spans="1:23" s="102" customFormat="1" x14ac:dyDescent="0.25">
      <c r="A262" s="122" t="s">
        <v>133</v>
      </c>
      <c r="B262" s="113" t="s">
        <v>134</v>
      </c>
      <c r="C262" s="161">
        <v>0</v>
      </c>
      <c r="D262" s="161">
        <v>2855</v>
      </c>
      <c r="E262" s="161">
        <v>2833.48</v>
      </c>
      <c r="F262" s="207"/>
    </row>
    <row r="263" spans="1:23" s="102" customFormat="1" x14ac:dyDescent="0.25">
      <c r="A263" s="122">
        <v>3225</v>
      </c>
      <c r="B263" s="113" t="s">
        <v>356</v>
      </c>
      <c r="C263" s="161">
        <v>3391</v>
      </c>
      <c r="D263" s="161">
        <v>36</v>
      </c>
      <c r="E263" s="161">
        <v>0</v>
      </c>
      <c r="F263" s="207"/>
    </row>
    <row r="264" spans="1:23" s="102" customFormat="1" x14ac:dyDescent="0.25">
      <c r="A264" s="124" t="s">
        <v>139</v>
      </c>
      <c r="B264" s="115" t="s">
        <v>140</v>
      </c>
      <c r="C264" s="162">
        <f>SUM(C265:C265)</f>
        <v>11474</v>
      </c>
      <c r="D264" s="162">
        <f>SUM(D265:D265)</f>
        <v>11974</v>
      </c>
      <c r="E264" s="162">
        <f>SUM(E265:E265)</f>
        <v>9873.32</v>
      </c>
      <c r="F264" s="205"/>
    </row>
    <row r="265" spans="1:23" s="102" customFormat="1" ht="13.8" thickBot="1" x14ac:dyDescent="0.3">
      <c r="A265" s="125">
        <v>3232</v>
      </c>
      <c r="B265" s="116" t="s">
        <v>357</v>
      </c>
      <c r="C265" s="375">
        <v>11474</v>
      </c>
      <c r="D265" s="375">
        <v>11974</v>
      </c>
      <c r="E265" s="375">
        <v>9873.32</v>
      </c>
      <c r="F265" s="208"/>
    </row>
    <row r="266" spans="1:23" s="102" customFormat="1" ht="13.8" thickTop="1" x14ac:dyDescent="0.25">
      <c r="A266" s="182"/>
      <c r="B266" s="183"/>
      <c r="C266" s="316"/>
      <c r="D266" s="316"/>
      <c r="E266" s="316"/>
      <c r="F266" s="209"/>
    </row>
    <row r="267" spans="1:23" s="102" customFormat="1" x14ac:dyDescent="0.25">
      <c r="A267" s="111" t="s">
        <v>321</v>
      </c>
      <c r="B267" s="101"/>
      <c r="C267" s="311"/>
      <c r="D267" s="311"/>
      <c r="E267" s="311"/>
      <c r="F267" s="186"/>
      <c r="G267" s="110"/>
      <c r="H267" s="110"/>
      <c r="I267" s="110"/>
      <c r="J267" s="110"/>
      <c r="K267" s="110"/>
      <c r="L267" s="110"/>
      <c r="M267" s="110"/>
      <c r="N267" s="110"/>
      <c r="O267" s="110"/>
      <c r="P267" s="110"/>
      <c r="Q267" s="110"/>
      <c r="R267" s="110"/>
      <c r="S267" s="110"/>
      <c r="T267" s="110"/>
      <c r="U267" s="110"/>
      <c r="V267" s="110"/>
      <c r="W267" s="110"/>
    </row>
    <row r="268" spans="1:23" s="102" customFormat="1" ht="13.8" thickBot="1" x14ac:dyDescent="0.3">
      <c r="A268" s="390"/>
      <c r="B268" s="390"/>
      <c r="C268" s="390"/>
      <c r="D268" s="390"/>
      <c r="E268" s="390"/>
      <c r="F268" s="390"/>
    </row>
    <row r="269" spans="1:23" s="102" customFormat="1" ht="40.799999999999997" thickTop="1" thickBot="1" x14ac:dyDescent="0.3">
      <c r="A269" s="117" t="s">
        <v>304</v>
      </c>
      <c r="B269" s="118" t="s">
        <v>259</v>
      </c>
      <c r="C269" s="118" t="s">
        <v>359</v>
      </c>
      <c r="D269" s="118" t="s">
        <v>360</v>
      </c>
      <c r="E269" s="118" t="s">
        <v>374</v>
      </c>
      <c r="F269" s="187" t="s">
        <v>260</v>
      </c>
    </row>
    <row r="270" spans="1:23" s="102" customFormat="1" ht="14.4" thickTop="1" thickBot="1" x14ac:dyDescent="0.3">
      <c r="A270" s="491">
        <v>1</v>
      </c>
      <c r="B270" s="492"/>
      <c r="C270" s="118">
        <v>2</v>
      </c>
      <c r="D270" s="118">
        <v>3</v>
      </c>
      <c r="E270" s="118">
        <v>4</v>
      </c>
      <c r="F270" s="187" t="s">
        <v>261</v>
      </c>
    </row>
    <row r="271" spans="1:23" ht="13.8" thickTop="1" x14ac:dyDescent="0.25">
      <c r="A271" s="350" t="s">
        <v>6</v>
      </c>
      <c r="B271" s="135" t="s">
        <v>207</v>
      </c>
      <c r="C271" s="359">
        <f>C272+C277+C294+C297</f>
        <v>21520</v>
      </c>
      <c r="D271" s="359">
        <f>D272+D277+D294+D297</f>
        <v>21520</v>
      </c>
      <c r="E271" s="359">
        <f>E272+E277+E294+E297</f>
        <v>6061.8</v>
      </c>
      <c r="F271" s="351">
        <f t="shared" ref="F271:F297" si="42">E271/D271*100</f>
        <v>28.168215613382902</v>
      </c>
    </row>
    <row r="272" spans="1:23" s="102" customFormat="1" x14ac:dyDescent="0.25">
      <c r="A272" s="352" t="s">
        <v>208</v>
      </c>
      <c r="B272" s="142" t="s">
        <v>214</v>
      </c>
      <c r="C272" s="360">
        <f>C273+C275</f>
        <v>6200</v>
      </c>
      <c r="D272" s="360">
        <f>D273+D275</f>
        <v>6100</v>
      </c>
      <c r="E272" s="360">
        <f>E273+E275</f>
        <v>0</v>
      </c>
      <c r="F272" s="353">
        <f t="shared" si="42"/>
        <v>0</v>
      </c>
    </row>
    <row r="273" spans="1:6" s="102" customFormat="1" x14ac:dyDescent="0.25">
      <c r="A273" s="227" t="s">
        <v>106</v>
      </c>
      <c r="B273" s="126" t="s">
        <v>107</v>
      </c>
      <c r="C273" s="334">
        <f>SUM(C274:C274)</f>
        <v>5300</v>
      </c>
      <c r="D273" s="334">
        <f>SUM(D274:D274)</f>
        <v>5200</v>
      </c>
      <c r="E273" s="334">
        <f>SUM(E274:E274)</f>
        <v>0</v>
      </c>
      <c r="F273" s="335"/>
    </row>
    <row r="274" spans="1:6" s="102" customFormat="1" x14ac:dyDescent="0.25">
      <c r="A274" s="122" t="s">
        <v>108</v>
      </c>
      <c r="B274" s="113" t="s">
        <v>109</v>
      </c>
      <c r="C274" s="161">
        <v>5300</v>
      </c>
      <c r="D274" s="161">
        <v>5200</v>
      </c>
      <c r="E274" s="161">
        <v>0</v>
      </c>
      <c r="F274" s="207"/>
    </row>
    <row r="275" spans="1:6" s="102" customFormat="1" x14ac:dyDescent="0.25">
      <c r="A275" s="124" t="s">
        <v>115</v>
      </c>
      <c r="B275" s="115" t="s">
        <v>116</v>
      </c>
      <c r="C275" s="162">
        <f>C276</f>
        <v>900</v>
      </c>
      <c r="D275" s="162">
        <f>D276</f>
        <v>900</v>
      </c>
      <c r="E275" s="162">
        <f>E276</f>
        <v>0</v>
      </c>
      <c r="F275" s="205"/>
    </row>
    <row r="276" spans="1:6" s="102" customFormat="1" x14ac:dyDescent="0.25">
      <c r="A276" s="140">
        <v>3132</v>
      </c>
      <c r="B276" s="357" t="s">
        <v>346</v>
      </c>
      <c r="C276" s="361">
        <v>900</v>
      </c>
      <c r="D276" s="361">
        <v>900</v>
      </c>
      <c r="E276" s="361">
        <v>0</v>
      </c>
      <c r="F276" s="355"/>
    </row>
    <row r="277" spans="1:6" x14ac:dyDescent="0.25">
      <c r="A277" s="352" t="s">
        <v>209</v>
      </c>
      <c r="B277" s="142" t="s">
        <v>215</v>
      </c>
      <c r="C277" s="360">
        <f>C278+C282+C286+C291</f>
        <v>13720</v>
      </c>
      <c r="D277" s="360">
        <f t="shared" ref="D277:E277" si="43">D278+D282+D286+D291</f>
        <v>13820</v>
      </c>
      <c r="E277" s="360">
        <f t="shared" si="43"/>
        <v>5045.63</v>
      </c>
      <c r="F277" s="353">
        <f t="shared" si="42"/>
        <v>36.509623733719252</v>
      </c>
    </row>
    <row r="278" spans="1:6" x14ac:dyDescent="0.25">
      <c r="A278" s="227" t="s">
        <v>119</v>
      </c>
      <c r="B278" s="126" t="s">
        <v>120</v>
      </c>
      <c r="C278" s="334">
        <f>SUM(C279:C281)</f>
        <v>5670</v>
      </c>
      <c r="D278" s="334">
        <f>SUM(D279:D281)</f>
        <v>5595</v>
      </c>
      <c r="E278" s="334">
        <f>SUM(E279:E281)</f>
        <v>105.07</v>
      </c>
      <c r="F278" s="335"/>
    </row>
    <row r="279" spans="1:6" x14ac:dyDescent="0.25">
      <c r="A279" s="122" t="s">
        <v>121</v>
      </c>
      <c r="B279" s="113" t="s">
        <v>122</v>
      </c>
      <c r="C279" s="161">
        <v>5320</v>
      </c>
      <c r="D279" s="161">
        <v>5245</v>
      </c>
      <c r="E279" s="161">
        <v>55.07</v>
      </c>
      <c r="F279" s="207"/>
    </row>
    <row r="280" spans="1:6" s="102" customFormat="1" x14ac:dyDescent="0.25">
      <c r="A280" s="122" t="s">
        <v>123</v>
      </c>
      <c r="B280" s="113" t="s">
        <v>124</v>
      </c>
      <c r="C280" s="161">
        <v>300</v>
      </c>
      <c r="D280" s="161">
        <v>300</v>
      </c>
      <c r="E280" s="161">
        <v>0</v>
      </c>
      <c r="F280" s="207"/>
    </row>
    <row r="281" spans="1:6" x14ac:dyDescent="0.25">
      <c r="A281" s="122" t="s">
        <v>125</v>
      </c>
      <c r="B281" s="113" t="s">
        <v>126</v>
      </c>
      <c r="C281" s="161">
        <v>50</v>
      </c>
      <c r="D281" s="161">
        <v>50</v>
      </c>
      <c r="E281" s="161">
        <v>50</v>
      </c>
      <c r="F281" s="207"/>
    </row>
    <row r="282" spans="1:6" x14ac:dyDescent="0.25">
      <c r="A282" s="124" t="s">
        <v>127</v>
      </c>
      <c r="B282" s="115" t="s">
        <v>128</v>
      </c>
      <c r="C282" s="162">
        <f>SUM(C283:C285)</f>
        <v>7250</v>
      </c>
      <c r="D282" s="162">
        <f t="shared" ref="D282:E282" si="44">SUM(D283:D285)</f>
        <v>7250</v>
      </c>
      <c r="E282" s="162">
        <f t="shared" si="44"/>
        <v>4619.42</v>
      </c>
      <c r="F282" s="205"/>
    </row>
    <row r="283" spans="1:6" x14ac:dyDescent="0.25">
      <c r="A283" s="122" t="s">
        <v>129</v>
      </c>
      <c r="B283" s="113" t="s">
        <v>130</v>
      </c>
      <c r="C283" s="161">
        <v>250</v>
      </c>
      <c r="D283" s="161">
        <v>250</v>
      </c>
      <c r="E283" s="161">
        <v>473.88</v>
      </c>
      <c r="F283" s="207"/>
    </row>
    <row r="284" spans="1:6" x14ac:dyDescent="0.25">
      <c r="A284" s="122" t="s">
        <v>189</v>
      </c>
      <c r="B284" s="113" t="s">
        <v>190</v>
      </c>
      <c r="C284" s="161">
        <v>6800</v>
      </c>
      <c r="D284" s="161">
        <v>6800</v>
      </c>
      <c r="E284" s="161">
        <v>4047.55</v>
      </c>
      <c r="F284" s="207"/>
    </row>
    <row r="285" spans="1:6" s="102" customFormat="1" x14ac:dyDescent="0.25">
      <c r="A285" s="122">
        <v>3225</v>
      </c>
      <c r="B285" s="113" t="s">
        <v>356</v>
      </c>
      <c r="C285" s="161">
        <v>200</v>
      </c>
      <c r="D285" s="161">
        <v>200</v>
      </c>
      <c r="E285" s="161">
        <v>97.99</v>
      </c>
      <c r="F285" s="207"/>
    </row>
    <row r="286" spans="1:6" x14ac:dyDescent="0.25">
      <c r="A286" s="124" t="s">
        <v>139</v>
      </c>
      <c r="B286" s="115" t="s">
        <v>140</v>
      </c>
      <c r="C286" s="162">
        <f>SUM(C287:C290)</f>
        <v>750</v>
      </c>
      <c r="D286" s="162">
        <f>SUM(D287:D290)</f>
        <v>850</v>
      </c>
      <c r="E286" s="162">
        <f>SUM(E287:E290)</f>
        <v>227.81</v>
      </c>
      <c r="F286" s="205"/>
    </row>
    <row r="287" spans="1:6" x14ac:dyDescent="0.25">
      <c r="A287" s="122" t="s">
        <v>141</v>
      </c>
      <c r="B287" s="113" t="s">
        <v>142</v>
      </c>
      <c r="C287" s="161">
        <v>400</v>
      </c>
      <c r="D287" s="161">
        <v>325</v>
      </c>
      <c r="E287" s="161">
        <v>0</v>
      </c>
      <c r="F287" s="207"/>
    </row>
    <row r="288" spans="1:6" s="102" customFormat="1" x14ac:dyDescent="0.25">
      <c r="A288" s="122" t="s">
        <v>151</v>
      </c>
      <c r="B288" s="113" t="s">
        <v>152</v>
      </c>
      <c r="C288" s="161">
        <v>0</v>
      </c>
      <c r="D288" s="161">
        <v>100</v>
      </c>
      <c r="E288" s="161">
        <v>74.680000000000007</v>
      </c>
      <c r="F288" s="207"/>
    </row>
    <row r="289" spans="1:23" x14ac:dyDescent="0.25">
      <c r="A289" s="122" t="s">
        <v>153</v>
      </c>
      <c r="B289" s="113" t="s">
        <v>154</v>
      </c>
      <c r="C289" s="161">
        <v>70</v>
      </c>
      <c r="D289" s="161">
        <v>70</v>
      </c>
      <c r="E289" s="161">
        <v>0</v>
      </c>
      <c r="F289" s="207"/>
    </row>
    <row r="290" spans="1:23" x14ac:dyDescent="0.25">
      <c r="A290" s="122" t="s">
        <v>157</v>
      </c>
      <c r="B290" s="113" t="s">
        <v>158</v>
      </c>
      <c r="C290" s="161">
        <v>280</v>
      </c>
      <c r="D290" s="161">
        <v>355</v>
      </c>
      <c r="E290" s="161">
        <v>153.13</v>
      </c>
      <c r="F290" s="207"/>
    </row>
    <row r="291" spans="1:23" x14ac:dyDescent="0.25">
      <c r="A291" s="124" t="s">
        <v>162</v>
      </c>
      <c r="B291" s="115" t="s">
        <v>163</v>
      </c>
      <c r="C291" s="162">
        <f>SUM(C292:C293)</f>
        <v>50</v>
      </c>
      <c r="D291" s="162">
        <f t="shared" ref="D291:E291" si="45">SUM(D292:D293)</f>
        <v>125</v>
      </c>
      <c r="E291" s="162">
        <f t="shared" si="45"/>
        <v>93.33</v>
      </c>
      <c r="F291" s="205"/>
    </row>
    <row r="292" spans="1:23" s="102" customFormat="1" x14ac:dyDescent="0.25">
      <c r="A292" s="140" t="s">
        <v>166</v>
      </c>
      <c r="B292" s="354" t="s">
        <v>167</v>
      </c>
      <c r="C292" s="361">
        <v>0</v>
      </c>
      <c r="D292" s="361">
        <v>75</v>
      </c>
      <c r="E292" s="361">
        <v>93.33</v>
      </c>
      <c r="F292" s="355"/>
    </row>
    <row r="293" spans="1:23" s="102" customFormat="1" x14ac:dyDescent="0.25">
      <c r="A293" s="140" t="s">
        <v>172</v>
      </c>
      <c r="B293" s="354" t="s">
        <v>163</v>
      </c>
      <c r="C293" s="361">
        <v>50</v>
      </c>
      <c r="D293" s="361">
        <v>50</v>
      </c>
      <c r="E293" s="361">
        <v>0</v>
      </c>
      <c r="F293" s="355"/>
    </row>
    <row r="294" spans="1:23" s="102" customFormat="1" x14ac:dyDescent="0.25">
      <c r="A294" s="352" t="s">
        <v>210</v>
      </c>
      <c r="B294" s="142" t="s">
        <v>216</v>
      </c>
      <c r="C294" s="360">
        <f>C295</f>
        <v>500</v>
      </c>
      <c r="D294" s="360">
        <f>D295</f>
        <v>500</v>
      </c>
      <c r="E294" s="360">
        <f>E295</f>
        <v>0</v>
      </c>
      <c r="F294" s="353">
        <f t="shared" si="42"/>
        <v>0</v>
      </c>
    </row>
    <row r="295" spans="1:23" s="102" customFormat="1" x14ac:dyDescent="0.25">
      <c r="A295" s="227" t="s">
        <v>173</v>
      </c>
      <c r="B295" s="126" t="s">
        <v>174</v>
      </c>
      <c r="C295" s="334">
        <f>SUM(C296:C296)</f>
        <v>500</v>
      </c>
      <c r="D295" s="334">
        <f>SUM(D296:D296)</f>
        <v>500</v>
      </c>
      <c r="E295" s="334">
        <f>SUM(E296:E296)</f>
        <v>0</v>
      </c>
      <c r="F295" s="335"/>
    </row>
    <row r="296" spans="1:23" s="102" customFormat="1" x14ac:dyDescent="0.25">
      <c r="A296" s="140" t="s">
        <v>175</v>
      </c>
      <c r="B296" s="354" t="s">
        <v>176</v>
      </c>
      <c r="C296" s="361">
        <v>500</v>
      </c>
      <c r="D296" s="361">
        <v>500</v>
      </c>
      <c r="E296" s="361">
        <v>0</v>
      </c>
      <c r="F296" s="355"/>
    </row>
    <row r="297" spans="1:23" s="102" customFormat="1" x14ac:dyDescent="0.25">
      <c r="A297" s="352" t="s">
        <v>212</v>
      </c>
      <c r="B297" s="142" t="s">
        <v>218</v>
      </c>
      <c r="C297" s="360">
        <f t="shared" ref="C297:E298" si="46">C298</f>
        <v>1100</v>
      </c>
      <c r="D297" s="360">
        <f t="shared" si="46"/>
        <v>1100</v>
      </c>
      <c r="E297" s="360">
        <f t="shared" si="46"/>
        <v>1016.17</v>
      </c>
      <c r="F297" s="353">
        <f t="shared" si="42"/>
        <v>92.379090909090905</v>
      </c>
    </row>
    <row r="298" spans="1:23" s="102" customFormat="1" x14ac:dyDescent="0.25">
      <c r="A298" s="227">
        <v>381</v>
      </c>
      <c r="B298" s="126" t="s">
        <v>344</v>
      </c>
      <c r="C298" s="334">
        <f t="shared" si="46"/>
        <v>1100</v>
      </c>
      <c r="D298" s="334">
        <f t="shared" si="46"/>
        <v>1100</v>
      </c>
      <c r="E298" s="334">
        <f t="shared" si="46"/>
        <v>1016.17</v>
      </c>
      <c r="F298" s="335"/>
    </row>
    <row r="299" spans="1:23" s="102" customFormat="1" ht="13.8" thickBot="1" x14ac:dyDescent="0.3">
      <c r="A299" s="125">
        <v>3812</v>
      </c>
      <c r="B299" s="116" t="s">
        <v>345</v>
      </c>
      <c r="C299" s="375">
        <v>1100</v>
      </c>
      <c r="D299" s="375">
        <v>1100</v>
      </c>
      <c r="E299" s="375">
        <v>1016.17</v>
      </c>
      <c r="F299" s="208"/>
    </row>
    <row r="300" spans="1:23" s="102" customFormat="1" ht="13.8" thickTop="1" x14ac:dyDescent="0.25">
      <c r="A300" s="182"/>
      <c r="B300" s="183"/>
      <c r="C300" s="316"/>
      <c r="D300" s="316"/>
      <c r="E300" s="316"/>
      <c r="F300" s="209"/>
    </row>
    <row r="301" spans="1:23" s="102" customFormat="1" x14ac:dyDescent="0.25">
      <c r="A301" s="111" t="s">
        <v>333</v>
      </c>
      <c r="B301" s="101"/>
      <c r="C301" s="311"/>
      <c r="D301" s="311"/>
      <c r="E301" s="311"/>
      <c r="F301" s="186"/>
      <c r="G301" s="110"/>
      <c r="H301" s="110"/>
      <c r="I301" s="110"/>
      <c r="J301" s="110"/>
      <c r="K301" s="110"/>
      <c r="L301" s="110"/>
      <c r="M301" s="110"/>
      <c r="N301" s="110"/>
      <c r="O301" s="110"/>
      <c r="P301" s="110"/>
      <c r="Q301" s="110"/>
      <c r="R301" s="110"/>
      <c r="S301" s="110"/>
      <c r="T301" s="110"/>
      <c r="U301" s="110"/>
      <c r="V301" s="110"/>
      <c r="W301" s="110"/>
    </row>
    <row r="302" spans="1:23" s="102" customFormat="1" ht="13.8" thickBot="1" x14ac:dyDescent="0.3">
      <c r="A302" s="390"/>
      <c r="B302" s="390"/>
      <c r="C302" s="390"/>
      <c r="D302" s="390"/>
      <c r="E302" s="390"/>
      <c r="F302" s="390"/>
    </row>
    <row r="303" spans="1:23" s="102" customFormat="1" ht="40.799999999999997" thickTop="1" thickBot="1" x14ac:dyDescent="0.3">
      <c r="A303" s="117" t="s">
        <v>304</v>
      </c>
      <c r="B303" s="118" t="s">
        <v>259</v>
      </c>
      <c r="C303" s="118" t="s">
        <v>359</v>
      </c>
      <c r="D303" s="118" t="s">
        <v>360</v>
      </c>
      <c r="E303" s="118" t="s">
        <v>374</v>
      </c>
      <c r="F303" s="187" t="s">
        <v>260</v>
      </c>
    </row>
    <row r="304" spans="1:23" s="102" customFormat="1" ht="15.75" customHeight="1" thickTop="1" thickBot="1" x14ac:dyDescent="0.3">
      <c r="A304" s="491">
        <v>1</v>
      </c>
      <c r="B304" s="492"/>
      <c r="C304" s="118">
        <v>2</v>
      </c>
      <c r="D304" s="118">
        <v>3</v>
      </c>
      <c r="E304" s="118">
        <v>4</v>
      </c>
      <c r="F304" s="187" t="s">
        <v>261</v>
      </c>
    </row>
    <row r="305" spans="1:23" s="102" customFormat="1" ht="13.8" thickTop="1" x14ac:dyDescent="0.25">
      <c r="A305" s="350" t="s">
        <v>6</v>
      </c>
      <c r="B305" s="135" t="s">
        <v>207</v>
      </c>
      <c r="C305" s="359">
        <f>C306+C309</f>
        <v>21797</v>
      </c>
      <c r="D305" s="359">
        <f t="shared" ref="D305:E305" si="47">D306+D309</f>
        <v>21797</v>
      </c>
      <c r="E305" s="359">
        <f t="shared" si="47"/>
        <v>20543.46</v>
      </c>
      <c r="F305" s="351">
        <f t="shared" ref="F305:F309" si="48">E305/D305*100</f>
        <v>94.249025095196586</v>
      </c>
    </row>
    <row r="306" spans="1:23" s="102" customFormat="1" x14ac:dyDescent="0.25">
      <c r="A306" s="352" t="s">
        <v>208</v>
      </c>
      <c r="B306" s="142" t="s">
        <v>214</v>
      </c>
      <c r="C306" s="360">
        <f>C307</f>
        <v>20235</v>
      </c>
      <c r="D306" s="360">
        <f t="shared" ref="D306:E306" si="49">D307</f>
        <v>20235</v>
      </c>
      <c r="E306" s="360">
        <f t="shared" si="49"/>
        <v>20235.03</v>
      </c>
      <c r="F306" s="353">
        <f t="shared" si="48"/>
        <v>100.00014825796886</v>
      </c>
    </row>
    <row r="307" spans="1:23" s="102" customFormat="1" x14ac:dyDescent="0.25">
      <c r="A307" s="227" t="s">
        <v>106</v>
      </c>
      <c r="B307" s="126" t="s">
        <v>107</v>
      </c>
      <c r="C307" s="334">
        <f>SUM(C308:C308)</f>
        <v>20235</v>
      </c>
      <c r="D307" s="334">
        <f t="shared" ref="D307:E307" si="50">SUM(D308:D308)</f>
        <v>20235</v>
      </c>
      <c r="E307" s="334">
        <f t="shared" si="50"/>
        <v>20235.03</v>
      </c>
      <c r="F307" s="335"/>
    </row>
    <row r="308" spans="1:23" s="102" customFormat="1" x14ac:dyDescent="0.25">
      <c r="A308" s="122" t="s">
        <v>108</v>
      </c>
      <c r="B308" s="113" t="s">
        <v>109</v>
      </c>
      <c r="C308" s="161">
        <v>20235</v>
      </c>
      <c r="D308" s="161">
        <v>20235</v>
      </c>
      <c r="E308" s="161">
        <v>20235.03</v>
      </c>
      <c r="F308" s="207"/>
    </row>
    <row r="309" spans="1:23" s="102" customFormat="1" x14ac:dyDescent="0.25">
      <c r="A309" s="352" t="s">
        <v>209</v>
      </c>
      <c r="B309" s="142" t="s">
        <v>215</v>
      </c>
      <c r="C309" s="360">
        <f>C310+C312+C315</f>
        <v>1562</v>
      </c>
      <c r="D309" s="360">
        <f t="shared" ref="D309:E309" si="51">D310+D312+D315</f>
        <v>1562</v>
      </c>
      <c r="E309" s="360">
        <f t="shared" si="51"/>
        <v>308.43</v>
      </c>
      <c r="F309" s="353">
        <f t="shared" si="48"/>
        <v>19.745838668373882</v>
      </c>
    </row>
    <row r="310" spans="1:23" s="102" customFormat="1" x14ac:dyDescent="0.25">
      <c r="A310" s="227" t="s">
        <v>119</v>
      </c>
      <c r="B310" s="126" t="s">
        <v>120</v>
      </c>
      <c r="C310" s="334">
        <f>SUM(C311:C311)</f>
        <v>1</v>
      </c>
      <c r="D310" s="334">
        <f t="shared" ref="D310:E310" si="52">SUM(D311:D311)</f>
        <v>1</v>
      </c>
      <c r="E310" s="334">
        <f t="shared" si="52"/>
        <v>0.43</v>
      </c>
      <c r="F310" s="335"/>
    </row>
    <row r="311" spans="1:23" s="102" customFormat="1" x14ac:dyDescent="0.25">
      <c r="A311" s="122" t="s">
        <v>121</v>
      </c>
      <c r="B311" s="113" t="s">
        <v>122</v>
      </c>
      <c r="C311" s="161">
        <v>1</v>
      </c>
      <c r="D311" s="161">
        <v>1</v>
      </c>
      <c r="E311" s="161">
        <v>0.43</v>
      </c>
      <c r="F311" s="207"/>
    </row>
    <row r="312" spans="1:23" s="102" customFormat="1" x14ac:dyDescent="0.25">
      <c r="A312" s="227" t="s">
        <v>127</v>
      </c>
      <c r="B312" s="126" t="s">
        <v>128</v>
      </c>
      <c r="C312" s="334">
        <f>SUM(C313:C314)</f>
        <v>1561</v>
      </c>
      <c r="D312" s="334">
        <f t="shared" ref="D312" si="53">SUM(D313:D314)</f>
        <v>1486</v>
      </c>
      <c r="E312" s="334">
        <f>SUM(E313:E314)</f>
        <v>233</v>
      </c>
      <c r="F312" s="335"/>
    </row>
    <row r="313" spans="1:23" s="102" customFormat="1" x14ac:dyDescent="0.25">
      <c r="A313" s="122" t="s">
        <v>129</v>
      </c>
      <c r="B313" s="113" t="s">
        <v>130</v>
      </c>
      <c r="C313" s="161">
        <v>308</v>
      </c>
      <c r="D313" s="161">
        <v>233</v>
      </c>
      <c r="E313" s="161">
        <v>233</v>
      </c>
      <c r="F313" s="207"/>
    </row>
    <row r="314" spans="1:23" s="102" customFormat="1" x14ac:dyDescent="0.25">
      <c r="A314" s="122" t="s">
        <v>189</v>
      </c>
      <c r="B314" s="113" t="s">
        <v>190</v>
      </c>
      <c r="C314" s="161">
        <v>1253</v>
      </c>
      <c r="D314" s="161">
        <v>1253</v>
      </c>
      <c r="E314" s="161">
        <v>0</v>
      </c>
      <c r="F314" s="207"/>
    </row>
    <row r="315" spans="1:23" s="102" customFormat="1" x14ac:dyDescent="0.25">
      <c r="A315" s="124" t="s">
        <v>139</v>
      </c>
      <c r="B315" s="115" t="s">
        <v>140</v>
      </c>
      <c r="C315" s="162">
        <f>C316</f>
        <v>0</v>
      </c>
      <c r="D315" s="162">
        <f t="shared" ref="D315:E315" si="54">D316</f>
        <v>75</v>
      </c>
      <c r="E315" s="162">
        <f t="shared" si="54"/>
        <v>75</v>
      </c>
      <c r="F315" s="205"/>
    </row>
    <row r="316" spans="1:23" s="102" customFormat="1" ht="13.8" thickBot="1" x14ac:dyDescent="0.3">
      <c r="A316" s="125" t="s">
        <v>157</v>
      </c>
      <c r="B316" s="116" t="s">
        <v>158</v>
      </c>
      <c r="C316" s="375">
        <v>0</v>
      </c>
      <c r="D316" s="375">
        <v>75</v>
      </c>
      <c r="E316" s="375">
        <v>75</v>
      </c>
      <c r="F316" s="208"/>
    </row>
    <row r="317" spans="1:23" s="102" customFormat="1" ht="13.8" thickTop="1" x14ac:dyDescent="0.25">
      <c r="A317" s="182"/>
      <c r="B317" s="183"/>
      <c r="C317" s="316"/>
      <c r="D317" s="316"/>
      <c r="E317" s="316"/>
      <c r="F317" s="209"/>
    </row>
    <row r="318" spans="1:23" s="102" customFormat="1" x14ac:dyDescent="0.25">
      <c r="A318" s="111" t="s">
        <v>322</v>
      </c>
      <c r="B318" s="101"/>
      <c r="C318" s="311"/>
      <c r="D318" s="311"/>
      <c r="E318" s="311"/>
      <c r="F318" s="186"/>
      <c r="G318" s="110"/>
      <c r="H318" s="110"/>
      <c r="I318" s="110"/>
      <c r="J318" s="110"/>
      <c r="K318" s="110"/>
      <c r="L318" s="110"/>
      <c r="M318" s="110"/>
      <c r="N318" s="110"/>
      <c r="O318" s="110"/>
      <c r="P318" s="110"/>
      <c r="Q318" s="110"/>
      <c r="R318" s="110"/>
      <c r="S318" s="110"/>
      <c r="T318" s="110"/>
      <c r="U318" s="110"/>
      <c r="V318" s="110"/>
      <c r="W318" s="110"/>
    </row>
    <row r="319" spans="1:23" s="102" customFormat="1" ht="13.8" thickBot="1" x14ac:dyDescent="0.3">
      <c r="A319" s="390"/>
      <c r="B319" s="390"/>
      <c r="C319" s="390"/>
      <c r="D319" s="390"/>
      <c r="E319" s="390"/>
      <c r="F319" s="390"/>
    </row>
    <row r="320" spans="1:23" s="102" customFormat="1" ht="40.799999999999997" thickTop="1" thickBot="1" x14ac:dyDescent="0.3">
      <c r="A320" s="117" t="s">
        <v>304</v>
      </c>
      <c r="B320" s="118" t="s">
        <v>259</v>
      </c>
      <c r="C320" s="118" t="s">
        <v>359</v>
      </c>
      <c r="D320" s="118" t="s">
        <v>360</v>
      </c>
      <c r="E320" s="118" t="s">
        <v>374</v>
      </c>
      <c r="F320" s="187" t="s">
        <v>260</v>
      </c>
    </row>
    <row r="321" spans="1:6" s="102" customFormat="1" ht="15.75" customHeight="1" thickTop="1" thickBot="1" x14ac:dyDescent="0.3">
      <c r="A321" s="495">
        <v>1</v>
      </c>
      <c r="B321" s="496"/>
      <c r="C321" s="376">
        <v>2</v>
      </c>
      <c r="D321" s="376">
        <v>3</v>
      </c>
      <c r="E321" s="376">
        <v>4</v>
      </c>
      <c r="F321" s="358" t="s">
        <v>261</v>
      </c>
    </row>
    <row r="322" spans="1:6" ht="13.8" thickTop="1" x14ac:dyDescent="0.25">
      <c r="A322" s="350" t="s">
        <v>6</v>
      </c>
      <c r="B322" s="135" t="s">
        <v>207</v>
      </c>
      <c r="C322" s="359">
        <f>C323+C333</f>
        <v>4000</v>
      </c>
      <c r="D322" s="359">
        <f t="shared" ref="D322:E322" si="55">D323+D333</f>
        <v>4000</v>
      </c>
      <c r="E322" s="359">
        <f t="shared" si="55"/>
        <v>1080</v>
      </c>
      <c r="F322" s="351">
        <f t="shared" ref="F322:F333" si="56">E322/D322*100</f>
        <v>27</v>
      </c>
    </row>
    <row r="323" spans="1:6" x14ac:dyDescent="0.25">
      <c r="A323" s="352" t="s">
        <v>209</v>
      </c>
      <c r="B323" s="142" t="s">
        <v>215</v>
      </c>
      <c r="C323" s="360">
        <f>C324+C326+C329+C331</f>
        <v>3800</v>
      </c>
      <c r="D323" s="360">
        <f t="shared" ref="D323:E323" si="57">D324+D326+D329+D331</f>
        <v>3800</v>
      </c>
      <c r="E323" s="360">
        <f t="shared" si="57"/>
        <v>1080</v>
      </c>
      <c r="F323" s="353">
        <f t="shared" si="56"/>
        <v>28.421052631578945</v>
      </c>
    </row>
    <row r="324" spans="1:6" x14ac:dyDescent="0.25">
      <c r="A324" s="227" t="s">
        <v>119</v>
      </c>
      <c r="B324" s="126" t="s">
        <v>120</v>
      </c>
      <c r="C324" s="334">
        <f>C325</f>
        <v>1100</v>
      </c>
      <c r="D324" s="334">
        <f>D325</f>
        <v>1100</v>
      </c>
      <c r="E324" s="334">
        <f>E325</f>
        <v>1080</v>
      </c>
      <c r="F324" s="335"/>
    </row>
    <row r="325" spans="1:6" x14ac:dyDescent="0.25">
      <c r="A325" s="122" t="s">
        <v>121</v>
      </c>
      <c r="B325" s="113" t="s">
        <v>122</v>
      </c>
      <c r="C325" s="161">
        <v>1100</v>
      </c>
      <c r="D325" s="161">
        <v>1100</v>
      </c>
      <c r="E325" s="161">
        <v>1080</v>
      </c>
      <c r="F325" s="207"/>
    </row>
    <row r="326" spans="1:6" x14ac:dyDescent="0.25">
      <c r="A326" s="124" t="s">
        <v>127</v>
      </c>
      <c r="B326" s="115" t="s">
        <v>128</v>
      </c>
      <c r="C326" s="162">
        <f>SUM(C327:C328)</f>
        <v>500</v>
      </c>
      <c r="D326" s="162">
        <f>SUM(D327:D328)</f>
        <v>500</v>
      </c>
      <c r="E326" s="162">
        <f>SUM(E327:E328)</f>
        <v>0</v>
      </c>
      <c r="F326" s="205"/>
    </row>
    <row r="327" spans="1:6" x14ac:dyDescent="0.25">
      <c r="A327" s="122" t="s">
        <v>129</v>
      </c>
      <c r="B327" s="113" t="s">
        <v>130</v>
      </c>
      <c r="C327" s="161">
        <v>100</v>
      </c>
      <c r="D327" s="161">
        <v>100</v>
      </c>
      <c r="E327" s="161">
        <v>0</v>
      </c>
      <c r="F327" s="207"/>
    </row>
    <row r="328" spans="1:6" x14ac:dyDescent="0.25">
      <c r="A328" s="122" t="s">
        <v>137</v>
      </c>
      <c r="B328" s="113" t="s">
        <v>138</v>
      </c>
      <c r="C328" s="161">
        <v>400</v>
      </c>
      <c r="D328" s="161">
        <v>400</v>
      </c>
      <c r="E328" s="161">
        <v>0</v>
      </c>
      <c r="F328" s="207"/>
    </row>
    <row r="329" spans="1:6" s="102" customFormat="1" x14ac:dyDescent="0.25">
      <c r="A329" s="124" t="s">
        <v>139</v>
      </c>
      <c r="B329" s="115" t="s">
        <v>140</v>
      </c>
      <c r="C329" s="162">
        <f>SUM(C330:C330)</f>
        <v>1200</v>
      </c>
      <c r="D329" s="162">
        <f>SUM(D330:D330)</f>
        <v>1200</v>
      </c>
      <c r="E329" s="162">
        <f>SUM(E330:E330)</f>
        <v>0</v>
      </c>
      <c r="F329" s="205"/>
    </row>
    <row r="330" spans="1:6" s="102" customFormat="1" x14ac:dyDescent="0.25">
      <c r="A330" s="122" t="s">
        <v>141</v>
      </c>
      <c r="B330" s="113" t="s">
        <v>142</v>
      </c>
      <c r="C330" s="161">
        <v>1200</v>
      </c>
      <c r="D330" s="161">
        <v>1200</v>
      </c>
      <c r="E330" s="161">
        <v>0</v>
      </c>
      <c r="F330" s="207"/>
    </row>
    <row r="331" spans="1:6" s="102" customFormat="1" x14ac:dyDescent="0.25">
      <c r="A331" s="124" t="s">
        <v>159</v>
      </c>
      <c r="B331" s="115" t="s">
        <v>160</v>
      </c>
      <c r="C331" s="162">
        <f>C332</f>
        <v>1000</v>
      </c>
      <c r="D331" s="162">
        <f>D332</f>
        <v>1000</v>
      </c>
      <c r="E331" s="162">
        <f>E332</f>
        <v>0</v>
      </c>
      <c r="F331" s="205"/>
    </row>
    <row r="332" spans="1:6" s="102" customFormat="1" x14ac:dyDescent="0.25">
      <c r="A332" s="140" t="s">
        <v>161</v>
      </c>
      <c r="B332" s="354" t="s">
        <v>160</v>
      </c>
      <c r="C332" s="361">
        <v>1000</v>
      </c>
      <c r="D332" s="361">
        <v>1000</v>
      </c>
      <c r="E332" s="361">
        <v>0</v>
      </c>
      <c r="F332" s="355"/>
    </row>
    <row r="333" spans="1:6" x14ac:dyDescent="0.25">
      <c r="A333" s="352" t="s">
        <v>211</v>
      </c>
      <c r="B333" s="142" t="s">
        <v>217</v>
      </c>
      <c r="C333" s="360">
        <f t="shared" ref="C333:E334" si="58">C334</f>
        <v>200</v>
      </c>
      <c r="D333" s="360">
        <f t="shared" si="58"/>
        <v>200</v>
      </c>
      <c r="E333" s="360">
        <f t="shared" si="58"/>
        <v>0</v>
      </c>
      <c r="F333" s="353">
        <f t="shared" si="56"/>
        <v>0</v>
      </c>
    </row>
    <row r="334" spans="1:6" x14ac:dyDescent="0.25">
      <c r="A334" s="227" t="s">
        <v>177</v>
      </c>
      <c r="B334" s="126" t="s">
        <v>178</v>
      </c>
      <c r="C334" s="334">
        <f t="shared" si="58"/>
        <v>200</v>
      </c>
      <c r="D334" s="334">
        <f t="shared" si="58"/>
        <v>200</v>
      </c>
      <c r="E334" s="334">
        <f t="shared" si="58"/>
        <v>0</v>
      </c>
      <c r="F334" s="335"/>
    </row>
    <row r="335" spans="1:6" ht="13.8" thickBot="1" x14ac:dyDescent="0.3">
      <c r="A335" s="125" t="s">
        <v>201</v>
      </c>
      <c r="B335" s="116" t="s">
        <v>202</v>
      </c>
      <c r="C335" s="375">
        <v>200</v>
      </c>
      <c r="D335" s="375">
        <v>200</v>
      </c>
      <c r="E335" s="375">
        <v>0</v>
      </c>
      <c r="F335" s="208"/>
    </row>
    <row r="336" spans="1:6" s="102" customFormat="1" ht="13.8" thickTop="1" x14ac:dyDescent="0.25">
      <c r="A336" s="182"/>
      <c r="B336" s="183"/>
      <c r="C336" s="316"/>
      <c r="D336" s="316"/>
      <c r="E336" s="316"/>
      <c r="F336" s="209"/>
    </row>
    <row r="337" spans="1:23" s="153" customFormat="1" ht="16.5" customHeight="1" x14ac:dyDescent="0.25">
      <c r="A337" s="160" t="s">
        <v>366</v>
      </c>
      <c r="B337" s="332"/>
      <c r="C337" s="315"/>
      <c r="D337" s="315"/>
      <c r="E337" s="315"/>
      <c r="F337" s="204"/>
    </row>
    <row r="338" spans="1:23" s="153" customFormat="1" ht="16.5" customHeight="1" x14ac:dyDescent="0.25">
      <c r="A338" s="160"/>
      <c r="B338" s="332"/>
      <c r="C338" s="315"/>
      <c r="D338" s="315"/>
      <c r="E338" s="315"/>
      <c r="F338" s="204"/>
    </row>
    <row r="339" spans="1:23" s="102" customFormat="1" x14ac:dyDescent="0.25">
      <c r="A339" s="111" t="s">
        <v>367</v>
      </c>
      <c r="B339" s="280"/>
      <c r="C339" s="311"/>
      <c r="D339" s="311"/>
      <c r="E339" s="311"/>
      <c r="F339" s="186"/>
      <c r="G339" s="110"/>
      <c r="H339" s="110"/>
      <c r="I339" s="110"/>
      <c r="J339" s="110"/>
      <c r="K339" s="110"/>
      <c r="L339" s="110"/>
      <c r="M339" s="110"/>
      <c r="N339" s="110"/>
      <c r="O339" s="110"/>
      <c r="P339" s="110"/>
      <c r="Q339" s="110"/>
      <c r="R339" s="110"/>
      <c r="S339" s="110"/>
      <c r="T339" s="110"/>
      <c r="U339" s="110"/>
      <c r="V339" s="110"/>
      <c r="W339" s="110"/>
    </row>
    <row r="340" spans="1:23" s="102" customFormat="1" ht="13.8" thickBot="1" x14ac:dyDescent="0.3">
      <c r="A340" s="390"/>
      <c r="B340" s="390"/>
      <c r="C340" s="390"/>
      <c r="D340" s="390"/>
      <c r="E340" s="390"/>
      <c r="F340" s="390"/>
    </row>
    <row r="341" spans="1:23" s="102" customFormat="1" ht="40.799999999999997" thickTop="1" thickBot="1" x14ac:dyDescent="0.3">
      <c r="A341" s="117" t="s">
        <v>304</v>
      </c>
      <c r="B341" s="118" t="s">
        <v>259</v>
      </c>
      <c r="C341" s="118" t="s">
        <v>359</v>
      </c>
      <c r="D341" s="118" t="s">
        <v>360</v>
      </c>
      <c r="E341" s="118" t="s">
        <v>374</v>
      </c>
      <c r="F341" s="187" t="s">
        <v>260</v>
      </c>
    </row>
    <row r="342" spans="1:23" s="102" customFormat="1" ht="14.4" thickTop="1" thickBot="1" x14ac:dyDescent="0.3">
      <c r="A342" s="491">
        <v>1</v>
      </c>
      <c r="B342" s="492"/>
      <c r="C342" s="118">
        <v>2</v>
      </c>
      <c r="D342" s="118">
        <v>3</v>
      </c>
      <c r="E342" s="118">
        <v>4</v>
      </c>
      <c r="F342" s="187" t="s">
        <v>261</v>
      </c>
    </row>
    <row r="343" spans="1:23" s="102" customFormat="1" ht="13.8" thickTop="1" x14ac:dyDescent="0.25">
      <c r="A343" s="350" t="s">
        <v>6</v>
      </c>
      <c r="B343" s="135" t="s">
        <v>207</v>
      </c>
      <c r="C343" s="359">
        <f>C344+C353+C358</f>
        <v>2012300</v>
      </c>
      <c r="D343" s="359">
        <f>D344+D353+D358</f>
        <v>2085300</v>
      </c>
      <c r="E343" s="359">
        <f>E344+E353+E358</f>
        <v>2075308.84</v>
      </c>
      <c r="F343" s="351">
        <f t="shared" ref="F343:F358" si="59">E343/D343*100</f>
        <v>99.520876612477821</v>
      </c>
    </row>
    <row r="344" spans="1:23" s="102" customFormat="1" x14ac:dyDescent="0.25">
      <c r="A344" s="352" t="s">
        <v>208</v>
      </c>
      <c r="B344" s="142" t="s">
        <v>214</v>
      </c>
      <c r="C344" s="360">
        <f>C345+C349+C351</f>
        <v>1855900</v>
      </c>
      <c r="D344" s="360">
        <f>D345+D349+D351</f>
        <v>1927400</v>
      </c>
      <c r="E344" s="360">
        <f>E345+E349+E351</f>
        <v>1928665.7000000002</v>
      </c>
      <c r="F344" s="353">
        <f t="shared" si="59"/>
        <v>100.06566877659024</v>
      </c>
    </row>
    <row r="345" spans="1:23" s="102" customFormat="1" x14ac:dyDescent="0.25">
      <c r="A345" s="227" t="s">
        <v>106</v>
      </c>
      <c r="B345" s="126" t="s">
        <v>107</v>
      </c>
      <c r="C345" s="334">
        <f>SUM(C346:C348)</f>
        <v>1547500</v>
      </c>
      <c r="D345" s="334">
        <f>SUM(D346:D348)</f>
        <v>1607500</v>
      </c>
      <c r="E345" s="334">
        <f>SUM(E346:E348)</f>
        <v>1612370.1</v>
      </c>
      <c r="F345" s="335"/>
    </row>
    <row r="346" spans="1:23" s="102" customFormat="1" x14ac:dyDescent="0.25">
      <c r="A346" s="122" t="s">
        <v>108</v>
      </c>
      <c r="B346" s="113" t="s">
        <v>109</v>
      </c>
      <c r="C346" s="161">
        <v>1470000</v>
      </c>
      <c r="D346" s="161">
        <v>1507000</v>
      </c>
      <c r="E346" s="161">
        <v>1512751.12</v>
      </c>
      <c r="F346" s="207"/>
    </row>
    <row r="347" spans="1:23" s="102" customFormat="1" x14ac:dyDescent="0.25">
      <c r="A347" s="122" t="s">
        <v>110</v>
      </c>
      <c r="B347" s="113" t="s">
        <v>111</v>
      </c>
      <c r="C347" s="161">
        <v>31500</v>
      </c>
      <c r="D347" s="161">
        <v>42500</v>
      </c>
      <c r="E347" s="161">
        <v>43150.64</v>
      </c>
      <c r="F347" s="207"/>
    </row>
    <row r="348" spans="1:23" s="102" customFormat="1" x14ac:dyDescent="0.25">
      <c r="A348" s="122" t="s">
        <v>203</v>
      </c>
      <c r="B348" s="113" t="s">
        <v>204</v>
      </c>
      <c r="C348" s="161">
        <v>46000</v>
      </c>
      <c r="D348" s="161">
        <v>58000</v>
      </c>
      <c r="E348" s="161">
        <v>56468.34</v>
      </c>
      <c r="F348" s="207"/>
    </row>
    <row r="349" spans="1:23" s="102" customFormat="1" x14ac:dyDescent="0.25">
      <c r="A349" s="124" t="s">
        <v>112</v>
      </c>
      <c r="B349" s="115" t="s">
        <v>113</v>
      </c>
      <c r="C349" s="162">
        <f>C350</f>
        <v>65900</v>
      </c>
      <c r="D349" s="162">
        <f>D350</f>
        <v>62900</v>
      </c>
      <c r="E349" s="162">
        <f>E350</f>
        <v>58777.61</v>
      </c>
      <c r="F349" s="205"/>
    </row>
    <row r="350" spans="1:23" s="102" customFormat="1" x14ac:dyDescent="0.25">
      <c r="A350" s="122" t="s">
        <v>114</v>
      </c>
      <c r="B350" s="113" t="s">
        <v>113</v>
      </c>
      <c r="C350" s="161">
        <v>65900</v>
      </c>
      <c r="D350" s="161">
        <v>62900</v>
      </c>
      <c r="E350" s="161">
        <v>58777.61</v>
      </c>
      <c r="F350" s="207"/>
    </row>
    <row r="351" spans="1:23" s="102" customFormat="1" x14ac:dyDescent="0.25">
      <c r="A351" s="124" t="s">
        <v>115</v>
      </c>
      <c r="B351" s="115" t="s">
        <v>116</v>
      </c>
      <c r="C351" s="162">
        <f>C352</f>
        <v>242500</v>
      </c>
      <c r="D351" s="162">
        <f t="shared" ref="D351:E351" si="60">D352</f>
        <v>257000</v>
      </c>
      <c r="E351" s="162">
        <f t="shared" si="60"/>
        <v>257517.99</v>
      </c>
      <c r="F351" s="205"/>
    </row>
    <row r="352" spans="1:23" s="102" customFormat="1" x14ac:dyDescent="0.25">
      <c r="A352" s="122" t="s">
        <v>117</v>
      </c>
      <c r="B352" s="113" t="s">
        <v>118</v>
      </c>
      <c r="C352" s="161">
        <v>242500</v>
      </c>
      <c r="D352" s="161">
        <v>257000</v>
      </c>
      <c r="E352" s="161">
        <v>257517.99</v>
      </c>
      <c r="F352" s="207"/>
    </row>
    <row r="353" spans="1:23" s="102" customFormat="1" x14ac:dyDescent="0.25">
      <c r="A353" s="352" t="s">
        <v>209</v>
      </c>
      <c r="B353" s="142" t="s">
        <v>215</v>
      </c>
      <c r="C353" s="360">
        <f>C354+C356</f>
        <v>126400</v>
      </c>
      <c r="D353" s="360">
        <f>D354+D356</f>
        <v>127900</v>
      </c>
      <c r="E353" s="360">
        <f>E354+E356</f>
        <v>123944.19</v>
      </c>
      <c r="F353" s="353">
        <f t="shared" si="59"/>
        <v>96.907107114933538</v>
      </c>
    </row>
    <row r="354" spans="1:23" s="102" customFormat="1" x14ac:dyDescent="0.25">
      <c r="A354" s="227" t="s">
        <v>119</v>
      </c>
      <c r="B354" s="126" t="s">
        <v>120</v>
      </c>
      <c r="C354" s="334">
        <f>SUM(C355:C355)</f>
        <v>17500</v>
      </c>
      <c r="D354" s="334">
        <f>SUM(D355:D355)</f>
        <v>19000</v>
      </c>
      <c r="E354" s="334">
        <f>SUM(E355:E355)</f>
        <v>18298.16</v>
      </c>
      <c r="F354" s="335"/>
    </row>
    <row r="355" spans="1:23" s="102" customFormat="1" x14ac:dyDescent="0.25">
      <c r="A355" s="122" t="s">
        <v>123</v>
      </c>
      <c r="B355" s="113" t="s">
        <v>124</v>
      </c>
      <c r="C355" s="161">
        <v>17500</v>
      </c>
      <c r="D355" s="161">
        <v>19000</v>
      </c>
      <c r="E355" s="161">
        <v>18298.16</v>
      </c>
      <c r="F355" s="207"/>
    </row>
    <row r="356" spans="1:23" s="102" customFormat="1" x14ac:dyDescent="0.25">
      <c r="A356" s="124" t="s">
        <v>127</v>
      </c>
      <c r="B356" s="115" t="s">
        <v>128</v>
      </c>
      <c r="C356" s="162">
        <f>SUM(C357:C357)</f>
        <v>108900</v>
      </c>
      <c r="D356" s="162">
        <f>SUM(D357:D357)</f>
        <v>108900</v>
      </c>
      <c r="E356" s="162">
        <f>SUM(E357:E357)</f>
        <v>105646.03</v>
      </c>
      <c r="F356" s="205"/>
    </row>
    <row r="357" spans="1:23" s="102" customFormat="1" x14ac:dyDescent="0.25">
      <c r="A357" s="140" t="s">
        <v>189</v>
      </c>
      <c r="B357" s="354" t="s">
        <v>190</v>
      </c>
      <c r="C357" s="361">
        <v>108900</v>
      </c>
      <c r="D357" s="361">
        <v>108900</v>
      </c>
      <c r="E357" s="361">
        <v>105646.03</v>
      </c>
      <c r="F357" s="355"/>
    </row>
    <row r="358" spans="1:23" s="102" customFormat="1" x14ac:dyDescent="0.25">
      <c r="A358" s="352" t="s">
        <v>211</v>
      </c>
      <c r="B358" s="142" t="s">
        <v>217</v>
      </c>
      <c r="C358" s="360">
        <f t="shared" ref="C358:E359" si="61">C359</f>
        <v>30000</v>
      </c>
      <c r="D358" s="360">
        <f t="shared" si="61"/>
        <v>30000</v>
      </c>
      <c r="E358" s="360">
        <f t="shared" si="61"/>
        <v>22698.95</v>
      </c>
      <c r="F358" s="353">
        <f t="shared" si="59"/>
        <v>75.663166666666669</v>
      </c>
    </row>
    <row r="359" spans="1:23" s="102" customFormat="1" x14ac:dyDescent="0.25">
      <c r="A359" s="227" t="s">
        <v>177</v>
      </c>
      <c r="B359" s="126" t="s">
        <v>178</v>
      </c>
      <c r="C359" s="334">
        <f t="shared" si="61"/>
        <v>30000</v>
      </c>
      <c r="D359" s="334">
        <f t="shared" si="61"/>
        <v>30000</v>
      </c>
      <c r="E359" s="334">
        <f t="shared" si="61"/>
        <v>22698.95</v>
      </c>
      <c r="F359" s="335"/>
    </row>
    <row r="360" spans="1:23" s="102" customFormat="1" ht="13.8" thickBot="1" x14ac:dyDescent="0.3">
      <c r="A360" s="125" t="s">
        <v>201</v>
      </c>
      <c r="B360" s="116" t="s">
        <v>202</v>
      </c>
      <c r="C360" s="375">
        <v>30000</v>
      </c>
      <c r="D360" s="375">
        <v>30000</v>
      </c>
      <c r="E360" s="375">
        <v>22698.95</v>
      </c>
      <c r="F360" s="208"/>
    </row>
    <row r="361" spans="1:23" s="102" customFormat="1" ht="13.8" thickTop="1" x14ac:dyDescent="0.25">
      <c r="A361" s="182"/>
      <c r="B361" s="183"/>
      <c r="C361" s="316"/>
      <c r="D361" s="333"/>
      <c r="E361" s="316"/>
      <c r="F361" s="209"/>
    </row>
    <row r="362" spans="1:23" s="153" customFormat="1" ht="16.5" customHeight="1" x14ac:dyDescent="0.25">
      <c r="A362" s="160" t="s">
        <v>309</v>
      </c>
      <c r="B362" s="146"/>
      <c r="C362" s="315"/>
      <c r="D362" s="315"/>
      <c r="E362" s="315"/>
      <c r="F362" s="204"/>
    </row>
    <row r="363" spans="1:23" s="153" customFormat="1" ht="12.75" customHeight="1" x14ac:dyDescent="0.25">
      <c r="A363" s="160"/>
      <c r="B363" s="146"/>
      <c r="C363" s="315"/>
      <c r="D363" s="315"/>
      <c r="E363" s="315"/>
      <c r="F363" s="204"/>
    </row>
    <row r="364" spans="1:23" s="102" customFormat="1" x14ac:dyDescent="0.25">
      <c r="A364" s="111" t="s">
        <v>332</v>
      </c>
      <c r="B364" s="280"/>
      <c r="C364" s="311"/>
      <c r="D364" s="311"/>
      <c r="E364" s="311"/>
      <c r="F364" s="186"/>
      <c r="G364" s="110"/>
      <c r="H364" s="110"/>
      <c r="I364" s="110"/>
      <c r="J364" s="110"/>
      <c r="K364" s="110"/>
      <c r="L364" s="110"/>
      <c r="M364" s="110"/>
      <c r="N364" s="110"/>
      <c r="O364" s="110"/>
      <c r="P364" s="110"/>
      <c r="Q364" s="110"/>
      <c r="R364" s="110"/>
      <c r="S364" s="110"/>
      <c r="T364" s="110"/>
      <c r="U364" s="110"/>
      <c r="V364" s="110"/>
      <c r="W364" s="110"/>
    </row>
    <row r="365" spans="1:23" s="102" customFormat="1" ht="13.8" thickBot="1" x14ac:dyDescent="0.3">
      <c r="A365" s="390"/>
      <c r="B365" s="390"/>
      <c r="C365" s="390"/>
      <c r="D365" s="390"/>
      <c r="E365" s="390"/>
      <c r="F365" s="390"/>
    </row>
    <row r="366" spans="1:23" s="102" customFormat="1" ht="40.799999999999997" thickTop="1" thickBot="1" x14ac:dyDescent="0.3">
      <c r="A366" s="117" t="s">
        <v>304</v>
      </c>
      <c r="B366" s="118" t="s">
        <v>259</v>
      </c>
      <c r="C366" s="118" t="s">
        <v>359</v>
      </c>
      <c r="D366" s="118" t="s">
        <v>360</v>
      </c>
      <c r="E366" s="118" t="s">
        <v>374</v>
      </c>
      <c r="F366" s="187" t="s">
        <v>260</v>
      </c>
    </row>
    <row r="367" spans="1:23" s="102" customFormat="1" ht="14.4" thickTop="1" thickBot="1" x14ac:dyDescent="0.3">
      <c r="A367" s="491">
        <v>1</v>
      </c>
      <c r="B367" s="492"/>
      <c r="C367" s="118">
        <v>2</v>
      </c>
      <c r="D367" s="118">
        <v>3</v>
      </c>
      <c r="E367" s="118">
        <v>4</v>
      </c>
      <c r="F367" s="187" t="s">
        <v>261</v>
      </c>
    </row>
    <row r="368" spans="1:23" s="102" customFormat="1" ht="13.8" thickTop="1" x14ac:dyDescent="0.25">
      <c r="A368" s="350" t="s">
        <v>7</v>
      </c>
      <c r="B368" s="135" t="s">
        <v>219</v>
      </c>
      <c r="C368" s="359">
        <f t="shared" ref="C368:E369" si="62">C369</f>
        <v>5934</v>
      </c>
      <c r="D368" s="359">
        <f t="shared" si="62"/>
        <v>5934</v>
      </c>
      <c r="E368" s="359">
        <f t="shared" si="62"/>
        <v>5933.31</v>
      </c>
      <c r="F368" s="351">
        <f>E368/D368*100</f>
        <v>99.988372093023258</v>
      </c>
    </row>
    <row r="369" spans="1:23" s="102" customFormat="1" x14ac:dyDescent="0.25">
      <c r="A369" s="352" t="s">
        <v>213</v>
      </c>
      <c r="B369" s="142" t="s">
        <v>220</v>
      </c>
      <c r="C369" s="360">
        <f t="shared" si="62"/>
        <v>5934</v>
      </c>
      <c r="D369" s="360">
        <f t="shared" si="62"/>
        <v>5934</v>
      </c>
      <c r="E369" s="360">
        <f t="shared" si="62"/>
        <v>5933.31</v>
      </c>
      <c r="F369" s="353">
        <f>E369/D369*100</f>
        <v>99.988372093023258</v>
      </c>
    </row>
    <row r="370" spans="1:23" s="102" customFormat="1" x14ac:dyDescent="0.25">
      <c r="A370" s="227" t="s">
        <v>179</v>
      </c>
      <c r="B370" s="126" t="s">
        <v>180</v>
      </c>
      <c r="C370" s="334">
        <f>SUM(C371:C371)</f>
        <v>5934</v>
      </c>
      <c r="D370" s="334">
        <f>SUM(D371:D371)</f>
        <v>5934</v>
      </c>
      <c r="E370" s="334">
        <f>SUM(E371:E371)</f>
        <v>5933.31</v>
      </c>
      <c r="F370" s="335"/>
    </row>
    <row r="371" spans="1:23" s="102" customFormat="1" ht="13.8" thickBot="1" x14ac:dyDescent="0.3">
      <c r="A371" s="125" t="s">
        <v>199</v>
      </c>
      <c r="B371" s="116" t="s">
        <v>200</v>
      </c>
      <c r="C371" s="375">
        <v>5934</v>
      </c>
      <c r="D371" s="375">
        <v>5934</v>
      </c>
      <c r="E371" s="375">
        <v>5933.31</v>
      </c>
      <c r="F371" s="208"/>
    </row>
    <row r="372" spans="1:23" s="102" customFormat="1" ht="13.8" thickTop="1" x14ac:dyDescent="0.25">
      <c r="A372" s="182"/>
      <c r="B372" s="183"/>
      <c r="C372" s="333"/>
      <c r="D372" s="333"/>
      <c r="E372" s="316"/>
      <c r="F372" s="209"/>
    </row>
    <row r="373" spans="1:23" s="102" customFormat="1" x14ac:dyDescent="0.25">
      <c r="A373" s="111" t="s">
        <v>334</v>
      </c>
      <c r="B373" s="101"/>
      <c r="C373" s="311"/>
      <c r="D373" s="311"/>
      <c r="E373" s="311"/>
      <c r="F373" s="186"/>
      <c r="G373" s="110"/>
      <c r="H373" s="110"/>
      <c r="I373" s="110"/>
      <c r="J373" s="110"/>
      <c r="K373" s="110"/>
      <c r="L373" s="110"/>
      <c r="M373" s="110"/>
      <c r="N373" s="110"/>
      <c r="O373" s="110"/>
      <c r="P373" s="110"/>
      <c r="Q373" s="110"/>
      <c r="R373" s="110"/>
      <c r="S373" s="110"/>
      <c r="T373" s="110"/>
      <c r="U373" s="110"/>
      <c r="V373" s="110"/>
      <c r="W373" s="110"/>
    </row>
    <row r="374" spans="1:23" s="102" customFormat="1" ht="13.8" thickBot="1" x14ac:dyDescent="0.3">
      <c r="A374" s="390"/>
      <c r="B374" s="390"/>
      <c r="C374" s="390"/>
      <c r="D374" s="390"/>
      <c r="E374" s="390"/>
      <c r="F374" s="390"/>
    </row>
    <row r="375" spans="1:23" s="102" customFormat="1" ht="40.799999999999997" thickTop="1" thickBot="1" x14ac:dyDescent="0.3">
      <c r="A375" s="117" t="s">
        <v>304</v>
      </c>
      <c r="B375" s="118" t="s">
        <v>259</v>
      </c>
      <c r="C375" s="118" t="s">
        <v>359</v>
      </c>
      <c r="D375" s="118" t="s">
        <v>360</v>
      </c>
      <c r="E375" s="118" t="s">
        <v>374</v>
      </c>
      <c r="F375" s="187" t="s">
        <v>260</v>
      </c>
    </row>
    <row r="376" spans="1:23" s="102" customFormat="1" ht="14.4" thickTop="1" thickBot="1" x14ac:dyDescent="0.3">
      <c r="A376" s="491">
        <v>1</v>
      </c>
      <c r="B376" s="492"/>
      <c r="C376" s="118">
        <v>2</v>
      </c>
      <c r="D376" s="118">
        <v>3</v>
      </c>
      <c r="E376" s="118">
        <v>4</v>
      </c>
      <c r="F376" s="187" t="s">
        <v>261</v>
      </c>
    </row>
    <row r="377" spans="1:23" s="102" customFormat="1" ht="13.8" thickTop="1" x14ac:dyDescent="0.25">
      <c r="A377" s="350" t="s">
        <v>7</v>
      </c>
      <c r="B377" s="135" t="s">
        <v>219</v>
      </c>
      <c r="C377" s="359">
        <f t="shared" ref="C377:E378" si="63">C378</f>
        <v>15488</v>
      </c>
      <c r="D377" s="359">
        <f t="shared" si="63"/>
        <v>15488</v>
      </c>
      <c r="E377" s="359">
        <f t="shared" si="63"/>
        <v>12262.44</v>
      </c>
      <c r="F377" s="351">
        <f>E377/D377*100</f>
        <v>79.173811983471083</v>
      </c>
    </row>
    <row r="378" spans="1:23" s="102" customFormat="1" x14ac:dyDescent="0.25">
      <c r="A378" s="352" t="s">
        <v>213</v>
      </c>
      <c r="B378" s="142" t="s">
        <v>220</v>
      </c>
      <c r="C378" s="360">
        <f t="shared" si="63"/>
        <v>15488</v>
      </c>
      <c r="D378" s="360">
        <f t="shared" si="63"/>
        <v>15488</v>
      </c>
      <c r="E378" s="360">
        <f t="shared" si="63"/>
        <v>12262.44</v>
      </c>
      <c r="F378" s="353">
        <f>E378/D378*100</f>
        <v>79.173811983471083</v>
      </c>
    </row>
    <row r="379" spans="1:23" s="102" customFormat="1" x14ac:dyDescent="0.25">
      <c r="A379" s="227" t="s">
        <v>179</v>
      </c>
      <c r="B379" s="126" t="s">
        <v>180</v>
      </c>
      <c r="C379" s="334">
        <f>SUM(C380:C382)</f>
        <v>15488</v>
      </c>
      <c r="D379" s="334">
        <f>SUM(D380:D382)</f>
        <v>15488</v>
      </c>
      <c r="E379" s="334">
        <f>SUM(E380:E382)</f>
        <v>12262.44</v>
      </c>
      <c r="F379" s="335"/>
    </row>
    <row r="380" spans="1:23" s="102" customFormat="1" x14ac:dyDescent="0.25">
      <c r="A380" s="122" t="s">
        <v>181</v>
      </c>
      <c r="B380" s="113" t="s">
        <v>182</v>
      </c>
      <c r="C380" s="161">
        <v>8000</v>
      </c>
      <c r="D380" s="161">
        <v>8000</v>
      </c>
      <c r="E380" s="161">
        <v>5847.5</v>
      </c>
      <c r="F380" s="207"/>
    </row>
    <row r="381" spans="1:23" s="102" customFormat="1" x14ac:dyDescent="0.25">
      <c r="A381" s="122" t="s">
        <v>199</v>
      </c>
      <c r="B381" s="113" t="s">
        <v>200</v>
      </c>
      <c r="C381" s="161">
        <v>1000</v>
      </c>
      <c r="D381" s="161">
        <v>1000</v>
      </c>
      <c r="E381" s="161">
        <v>691.69</v>
      </c>
      <c r="F381" s="207"/>
    </row>
    <row r="382" spans="1:23" s="102" customFormat="1" ht="13.8" thickBot="1" x14ac:dyDescent="0.3">
      <c r="A382" s="125" t="s">
        <v>183</v>
      </c>
      <c r="B382" s="116" t="s">
        <v>184</v>
      </c>
      <c r="C382" s="375">
        <v>6488</v>
      </c>
      <c r="D382" s="375">
        <v>6488</v>
      </c>
      <c r="E382" s="375">
        <v>5723.25</v>
      </c>
      <c r="F382" s="208"/>
    </row>
    <row r="383" spans="1:23" s="102" customFormat="1" ht="13.8" thickTop="1" x14ac:dyDescent="0.25">
      <c r="A383" s="182"/>
      <c r="B383" s="183"/>
      <c r="C383" s="316"/>
      <c r="D383" s="316"/>
      <c r="E383" s="316"/>
      <c r="F383" s="209"/>
    </row>
    <row r="384" spans="1:23" s="102" customFormat="1" x14ac:dyDescent="0.25">
      <c r="A384" s="111" t="s">
        <v>333</v>
      </c>
      <c r="B384" s="280"/>
      <c r="C384" s="311"/>
      <c r="D384" s="311"/>
      <c r="E384" s="311"/>
      <c r="F384" s="186"/>
      <c r="G384" s="110"/>
      <c r="H384" s="110"/>
      <c r="I384" s="110"/>
      <c r="J384" s="110"/>
      <c r="K384" s="110"/>
      <c r="L384" s="110"/>
      <c r="M384" s="110"/>
      <c r="N384" s="110"/>
      <c r="O384" s="110"/>
      <c r="P384" s="110"/>
      <c r="Q384" s="110"/>
      <c r="R384" s="110"/>
      <c r="S384" s="110"/>
      <c r="T384" s="110"/>
      <c r="U384" s="110"/>
      <c r="V384" s="110"/>
      <c r="W384" s="110"/>
    </row>
    <row r="385" spans="1:23" s="102" customFormat="1" ht="13.8" thickBot="1" x14ac:dyDescent="0.3">
      <c r="A385" s="390"/>
      <c r="B385" s="390"/>
      <c r="C385" s="390"/>
      <c r="D385" s="390"/>
      <c r="E385" s="390"/>
      <c r="F385" s="390"/>
    </row>
    <row r="386" spans="1:23" s="102" customFormat="1" ht="40.799999999999997" thickTop="1" thickBot="1" x14ac:dyDescent="0.3">
      <c r="A386" s="117" t="s">
        <v>304</v>
      </c>
      <c r="B386" s="118" t="s">
        <v>259</v>
      </c>
      <c r="C386" s="118" t="s">
        <v>359</v>
      </c>
      <c r="D386" s="118" t="s">
        <v>360</v>
      </c>
      <c r="E386" s="118" t="s">
        <v>374</v>
      </c>
      <c r="F386" s="187" t="s">
        <v>260</v>
      </c>
    </row>
    <row r="387" spans="1:23" s="102" customFormat="1" ht="14.4" thickTop="1" thickBot="1" x14ac:dyDescent="0.3">
      <c r="A387" s="491">
        <v>1</v>
      </c>
      <c r="B387" s="492"/>
      <c r="C387" s="118">
        <v>2</v>
      </c>
      <c r="D387" s="118">
        <v>3</v>
      </c>
      <c r="E387" s="118">
        <v>4</v>
      </c>
      <c r="F387" s="187" t="s">
        <v>261</v>
      </c>
    </row>
    <row r="388" spans="1:23" s="102" customFormat="1" ht="13.8" thickTop="1" x14ac:dyDescent="0.25">
      <c r="A388" s="350" t="s">
        <v>7</v>
      </c>
      <c r="B388" s="135" t="s">
        <v>219</v>
      </c>
      <c r="C388" s="359">
        <f t="shared" ref="C388:E389" si="64">C389</f>
        <v>1486</v>
      </c>
      <c r="D388" s="359">
        <f t="shared" si="64"/>
        <v>1486</v>
      </c>
      <c r="E388" s="359">
        <f t="shared" si="64"/>
        <v>1485.57</v>
      </c>
      <c r="F388" s="351">
        <f>E388/D388*100</f>
        <v>99.971063257065936</v>
      </c>
    </row>
    <row r="389" spans="1:23" s="102" customFormat="1" x14ac:dyDescent="0.25">
      <c r="A389" s="352" t="s">
        <v>213</v>
      </c>
      <c r="B389" s="142" t="s">
        <v>220</v>
      </c>
      <c r="C389" s="360">
        <f t="shared" si="64"/>
        <v>1486</v>
      </c>
      <c r="D389" s="360">
        <f t="shared" si="64"/>
        <v>1486</v>
      </c>
      <c r="E389" s="360">
        <f t="shared" si="64"/>
        <v>1485.57</v>
      </c>
      <c r="F389" s="353">
        <f>E389/D389*100</f>
        <v>99.971063257065936</v>
      </c>
    </row>
    <row r="390" spans="1:23" s="102" customFormat="1" x14ac:dyDescent="0.25">
      <c r="A390" s="227" t="s">
        <v>179</v>
      </c>
      <c r="B390" s="126" t="s">
        <v>180</v>
      </c>
      <c r="C390" s="334">
        <f>SUM(C391:C391)</f>
        <v>1486</v>
      </c>
      <c r="D390" s="334">
        <f>SUM(D391:D391)</f>
        <v>1486</v>
      </c>
      <c r="E390" s="334">
        <f>SUM(E391:E391)</f>
        <v>1485.57</v>
      </c>
      <c r="F390" s="335"/>
    </row>
    <row r="391" spans="1:23" s="102" customFormat="1" ht="13.8" thickBot="1" x14ac:dyDescent="0.3">
      <c r="A391" s="125" t="s">
        <v>181</v>
      </c>
      <c r="B391" s="116" t="s">
        <v>182</v>
      </c>
      <c r="C391" s="375">
        <v>1486</v>
      </c>
      <c r="D391" s="375">
        <v>1486</v>
      </c>
      <c r="E391" s="375">
        <v>1485.57</v>
      </c>
      <c r="F391" s="208"/>
    </row>
    <row r="392" spans="1:23" s="102" customFormat="1" ht="13.8" thickTop="1" x14ac:dyDescent="0.25">
      <c r="A392" s="182"/>
      <c r="B392" s="183"/>
      <c r="C392" s="316"/>
      <c r="D392" s="316"/>
      <c r="E392" s="316"/>
      <c r="F392" s="209"/>
    </row>
    <row r="393" spans="1:23" s="102" customFormat="1" x14ac:dyDescent="0.25">
      <c r="A393" s="111" t="s">
        <v>376</v>
      </c>
      <c r="B393" s="379"/>
      <c r="C393" s="311"/>
      <c r="D393" s="311"/>
      <c r="E393" s="311"/>
      <c r="F393" s="186"/>
      <c r="G393" s="110"/>
      <c r="H393" s="110"/>
      <c r="I393" s="110"/>
      <c r="J393" s="110"/>
      <c r="K393" s="110"/>
      <c r="L393" s="110"/>
      <c r="M393" s="110"/>
      <c r="N393" s="110"/>
      <c r="O393" s="110"/>
      <c r="P393" s="110"/>
      <c r="Q393" s="110"/>
      <c r="R393" s="110"/>
      <c r="S393" s="110"/>
      <c r="T393" s="110"/>
      <c r="U393" s="110"/>
      <c r="V393" s="110"/>
      <c r="W393" s="110"/>
    </row>
    <row r="394" spans="1:23" s="102" customFormat="1" ht="13.8" thickBot="1" x14ac:dyDescent="0.3">
      <c r="A394" s="390"/>
      <c r="B394" s="390"/>
      <c r="C394" s="390"/>
      <c r="D394" s="390"/>
      <c r="E394" s="390"/>
      <c r="F394" s="390"/>
    </row>
    <row r="395" spans="1:23" s="102" customFormat="1" ht="40.799999999999997" thickTop="1" thickBot="1" x14ac:dyDescent="0.3">
      <c r="A395" s="117" t="s">
        <v>304</v>
      </c>
      <c r="B395" s="118" t="s">
        <v>259</v>
      </c>
      <c r="C395" s="118" t="s">
        <v>359</v>
      </c>
      <c r="D395" s="118" t="s">
        <v>360</v>
      </c>
      <c r="E395" s="118" t="s">
        <v>374</v>
      </c>
      <c r="F395" s="187" t="s">
        <v>260</v>
      </c>
    </row>
    <row r="396" spans="1:23" s="102" customFormat="1" ht="14.4" thickTop="1" thickBot="1" x14ac:dyDescent="0.3">
      <c r="A396" s="491">
        <v>1</v>
      </c>
      <c r="B396" s="492"/>
      <c r="C396" s="118">
        <v>2</v>
      </c>
      <c r="D396" s="118">
        <v>3</v>
      </c>
      <c r="E396" s="118">
        <v>4</v>
      </c>
      <c r="F396" s="187" t="s">
        <v>261</v>
      </c>
    </row>
    <row r="397" spans="1:23" s="102" customFormat="1" ht="13.8" thickTop="1" x14ac:dyDescent="0.25">
      <c r="A397" s="350" t="s">
        <v>7</v>
      </c>
      <c r="B397" s="135" t="s">
        <v>219</v>
      </c>
      <c r="C397" s="359">
        <f t="shared" ref="C397:E398" si="65">C398</f>
        <v>0</v>
      </c>
      <c r="D397" s="359">
        <f t="shared" si="65"/>
        <v>2150</v>
      </c>
      <c r="E397" s="359">
        <f t="shared" si="65"/>
        <v>2145</v>
      </c>
      <c r="F397" s="351">
        <f>E397/D397*100</f>
        <v>99.767441860465112</v>
      </c>
    </row>
    <row r="398" spans="1:23" s="102" customFormat="1" x14ac:dyDescent="0.25">
      <c r="A398" s="352" t="s">
        <v>213</v>
      </c>
      <c r="B398" s="142" t="s">
        <v>220</v>
      </c>
      <c r="C398" s="360">
        <f t="shared" si="65"/>
        <v>0</v>
      </c>
      <c r="D398" s="360">
        <f t="shared" si="65"/>
        <v>2150</v>
      </c>
      <c r="E398" s="360">
        <f t="shared" si="65"/>
        <v>2145</v>
      </c>
      <c r="F398" s="353">
        <f>E398/D398*100</f>
        <v>99.767441860465112</v>
      </c>
    </row>
    <row r="399" spans="1:23" s="102" customFormat="1" x14ac:dyDescent="0.25">
      <c r="A399" s="227" t="s">
        <v>179</v>
      </c>
      <c r="B399" s="126" t="s">
        <v>180</v>
      </c>
      <c r="C399" s="334">
        <f>SUM(C400:C400)</f>
        <v>0</v>
      </c>
      <c r="D399" s="334">
        <f>SUM(D400:D400)</f>
        <v>2150</v>
      </c>
      <c r="E399" s="334">
        <f>SUM(E400:E400)</f>
        <v>2145</v>
      </c>
      <c r="F399" s="335"/>
    </row>
    <row r="400" spans="1:23" s="102" customFormat="1" ht="13.8" thickBot="1" x14ac:dyDescent="0.3">
      <c r="A400" s="125" t="s">
        <v>183</v>
      </c>
      <c r="B400" s="116" t="s">
        <v>184</v>
      </c>
      <c r="C400" s="375">
        <v>0</v>
      </c>
      <c r="D400" s="375">
        <v>2150</v>
      </c>
      <c r="E400" s="375">
        <v>2145</v>
      </c>
      <c r="F400" s="208"/>
    </row>
    <row r="401" spans="1:23" s="102" customFormat="1" ht="13.8" thickTop="1" x14ac:dyDescent="0.25">
      <c r="A401" s="182"/>
      <c r="B401" s="183"/>
      <c r="C401" s="316"/>
      <c r="D401" s="333"/>
      <c r="E401" s="333"/>
      <c r="F401" s="209"/>
    </row>
    <row r="402" spans="1:23" s="153" customFormat="1" ht="16.5" customHeight="1" x14ac:dyDescent="0.25">
      <c r="A402" s="160" t="s">
        <v>347</v>
      </c>
      <c r="B402" s="146"/>
      <c r="C402" s="315"/>
      <c r="D402" s="315"/>
      <c r="E402" s="315"/>
      <c r="F402" s="204"/>
    </row>
    <row r="403" spans="1:23" s="153" customFormat="1" ht="12.75" customHeight="1" x14ac:dyDescent="0.25">
      <c r="A403" s="160"/>
      <c r="B403" s="146"/>
      <c r="C403" s="315"/>
      <c r="D403" s="315"/>
      <c r="E403" s="315"/>
      <c r="F403" s="204"/>
    </row>
    <row r="404" spans="1:23" s="102" customFormat="1" x14ac:dyDescent="0.25">
      <c r="A404" s="111" t="s">
        <v>320</v>
      </c>
      <c r="B404" s="379"/>
      <c r="C404" s="311"/>
      <c r="D404" s="311"/>
      <c r="E404" s="311"/>
      <c r="F404" s="186"/>
      <c r="G404" s="110"/>
      <c r="H404" s="110"/>
      <c r="I404" s="110"/>
      <c r="J404" s="110"/>
      <c r="K404" s="110"/>
      <c r="L404" s="110"/>
      <c r="M404" s="110"/>
      <c r="N404" s="110"/>
      <c r="O404" s="110"/>
      <c r="P404" s="110"/>
      <c r="Q404" s="110"/>
      <c r="R404" s="110"/>
      <c r="S404" s="110"/>
      <c r="T404" s="110"/>
      <c r="U404" s="110"/>
      <c r="V404" s="110"/>
      <c r="W404" s="110"/>
    </row>
    <row r="405" spans="1:23" s="102" customFormat="1" ht="13.8" thickBot="1" x14ac:dyDescent="0.3">
      <c r="A405" s="390"/>
      <c r="B405" s="390"/>
      <c r="C405" s="390"/>
      <c r="D405" s="390"/>
      <c r="E405" s="390"/>
      <c r="F405" s="390"/>
    </row>
    <row r="406" spans="1:23" s="102" customFormat="1" ht="40.799999999999997" thickTop="1" thickBot="1" x14ac:dyDescent="0.3">
      <c r="A406" s="117" t="s">
        <v>304</v>
      </c>
      <c r="B406" s="118" t="s">
        <v>259</v>
      </c>
      <c r="C406" s="118" t="s">
        <v>359</v>
      </c>
      <c r="D406" s="118" t="s">
        <v>360</v>
      </c>
      <c r="E406" s="118" t="s">
        <v>374</v>
      </c>
      <c r="F406" s="187" t="s">
        <v>260</v>
      </c>
    </row>
    <row r="407" spans="1:23" s="102" customFormat="1" ht="14.4" thickTop="1" thickBot="1" x14ac:dyDescent="0.3">
      <c r="A407" s="491">
        <v>1</v>
      </c>
      <c r="B407" s="492"/>
      <c r="C407" s="118">
        <v>2</v>
      </c>
      <c r="D407" s="118">
        <v>3</v>
      </c>
      <c r="E407" s="118">
        <v>4</v>
      </c>
      <c r="F407" s="187" t="s">
        <v>261</v>
      </c>
    </row>
    <row r="408" spans="1:23" s="102" customFormat="1" ht="13.8" thickTop="1" x14ac:dyDescent="0.25">
      <c r="A408" s="350" t="s">
        <v>7</v>
      </c>
      <c r="B408" s="135" t="s">
        <v>219</v>
      </c>
      <c r="C408" s="359">
        <f>C409</f>
        <v>0</v>
      </c>
      <c r="D408" s="359">
        <f t="shared" ref="D408:E410" si="66">D409</f>
        <v>0</v>
      </c>
      <c r="E408" s="359">
        <f t="shared" si="66"/>
        <v>0.09</v>
      </c>
      <c r="F408" s="351" t="e">
        <f>E408/D408*100</f>
        <v>#DIV/0!</v>
      </c>
    </row>
    <row r="409" spans="1:23" s="102" customFormat="1" x14ac:dyDescent="0.25">
      <c r="A409" s="352" t="s">
        <v>213</v>
      </c>
      <c r="B409" s="142" t="s">
        <v>220</v>
      </c>
      <c r="C409" s="360">
        <f>C410</f>
        <v>0</v>
      </c>
      <c r="D409" s="360">
        <f t="shared" si="66"/>
        <v>0</v>
      </c>
      <c r="E409" s="360">
        <f t="shared" si="66"/>
        <v>0.09</v>
      </c>
      <c r="F409" s="353" t="e">
        <f>E409/D409*100</f>
        <v>#DIV/0!</v>
      </c>
    </row>
    <row r="410" spans="1:23" s="102" customFormat="1" x14ac:dyDescent="0.25">
      <c r="A410" s="227" t="s">
        <v>191</v>
      </c>
      <c r="B410" s="126" t="s">
        <v>192</v>
      </c>
      <c r="C410" s="334">
        <f>C411</f>
        <v>0</v>
      </c>
      <c r="D410" s="334">
        <f t="shared" si="66"/>
        <v>0</v>
      </c>
      <c r="E410" s="334">
        <f t="shared" si="66"/>
        <v>0.09</v>
      </c>
      <c r="F410" s="335"/>
    </row>
    <row r="411" spans="1:23" s="102" customFormat="1" ht="13.8" thickBot="1" x14ac:dyDescent="0.3">
      <c r="A411" s="125" t="s">
        <v>193</v>
      </c>
      <c r="B411" s="116" t="s">
        <v>194</v>
      </c>
      <c r="C411" s="375">
        <v>0</v>
      </c>
      <c r="D411" s="375">
        <v>0</v>
      </c>
      <c r="E411" s="375">
        <v>0.09</v>
      </c>
      <c r="F411" s="208"/>
    </row>
    <row r="412" spans="1:23" s="102" customFormat="1" ht="13.8" thickTop="1" x14ac:dyDescent="0.25">
      <c r="A412" s="182"/>
      <c r="B412" s="183"/>
      <c r="C412" s="333"/>
      <c r="D412" s="333"/>
      <c r="E412" s="333"/>
      <c r="F412" s="209"/>
    </row>
    <row r="413" spans="1:23" s="102" customFormat="1" x14ac:dyDescent="0.25">
      <c r="A413" s="111" t="s">
        <v>321</v>
      </c>
      <c r="B413" s="101"/>
      <c r="C413" s="311"/>
      <c r="D413" s="311"/>
      <c r="E413" s="311"/>
      <c r="F413" s="186"/>
      <c r="G413" s="110"/>
      <c r="H413" s="110"/>
      <c r="I413" s="110"/>
      <c r="J413" s="110"/>
      <c r="K413" s="110"/>
      <c r="L413" s="110"/>
      <c r="M413" s="110"/>
      <c r="N413" s="110"/>
      <c r="O413" s="110"/>
      <c r="P413" s="110"/>
      <c r="Q413" s="110"/>
      <c r="R413" s="110"/>
      <c r="S413" s="110"/>
      <c r="T413" s="110"/>
      <c r="U413" s="110"/>
      <c r="V413" s="110"/>
      <c r="W413" s="110"/>
    </row>
    <row r="414" spans="1:23" s="102" customFormat="1" ht="13.8" thickBot="1" x14ac:dyDescent="0.3">
      <c r="A414" s="390"/>
      <c r="B414" s="390"/>
      <c r="C414" s="390"/>
      <c r="D414" s="390"/>
      <c r="E414" s="390"/>
      <c r="F414" s="390"/>
    </row>
    <row r="415" spans="1:23" s="102" customFormat="1" ht="40.799999999999997" thickTop="1" thickBot="1" x14ac:dyDescent="0.3">
      <c r="A415" s="117" t="s">
        <v>304</v>
      </c>
      <c r="B415" s="118" t="s">
        <v>259</v>
      </c>
      <c r="C415" s="118" t="s">
        <v>359</v>
      </c>
      <c r="D415" s="118" t="s">
        <v>360</v>
      </c>
      <c r="E415" s="118" t="s">
        <v>374</v>
      </c>
      <c r="F415" s="187" t="s">
        <v>260</v>
      </c>
    </row>
    <row r="416" spans="1:23" s="102" customFormat="1" ht="14.4" thickTop="1" thickBot="1" x14ac:dyDescent="0.3">
      <c r="A416" s="491">
        <v>1</v>
      </c>
      <c r="B416" s="492"/>
      <c r="C416" s="118">
        <v>2</v>
      </c>
      <c r="D416" s="118">
        <v>3</v>
      </c>
      <c r="E416" s="118">
        <v>4</v>
      </c>
      <c r="F416" s="187" t="s">
        <v>261</v>
      </c>
    </row>
    <row r="417" spans="1:23" ht="13.8" thickTop="1" x14ac:dyDescent="0.25">
      <c r="A417" s="350" t="s">
        <v>7</v>
      </c>
      <c r="B417" s="135" t="s">
        <v>219</v>
      </c>
      <c r="C417" s="359">
        <f>C418</f>
        <v>10000</v>
      </c>
      <c r="D417" s="359">
        <f t="shared" ref="D417:E419" si="67">D418</f>
        <v>10000</v>
      </c>
      <c r="E417" s="359">
        <f t="shared" si="67"/>
        <v>3753.3</v>
      </c>
      <c r="F417" s="351">
        <f>E417/D417*100</f>
        <v>37.533000000000001</v>
      </c>
    </row>
    <row r="418" spans="1:23" x14ac:dyDescent="0.25">
      <c r="A418" s="352" t="s">
        <v>213</v>
      </c>
      <c r="B418" s="142" t="s">
        <v>220</v>
      </c>
      <c r="C418" s="360">
        <f>C419</f>
        <v>10000</v>
      </c>
      <c r="D418" s="360">
        <f t="shared" si="67"/>
        <v>10000</v>
      </c>
      <c r="E418" s="360">
        <f t="shared" si="67"/>
        <v>3753.3</v>
      </c>
      <c r="F418" s="353">
        <f>E418/D418*100</f>
        <v>37.533000000000001</v>
      </c>
    </row>
    <row r="419" spans="1:23" x14ac:dyDescent="0.25">
      <c r="A419" s="227" t="s">
        <v>191</v>
      </c>
      <c r="B419" s="126" t="s">
        <v>192</v>
      </c>
      <c r="C419" s="334">
        <f>C420</f>
        <v>10000</v>
      </c>
      <c r="D419" s="334">
        <f t="shared" si="67"/>
        <v>10000</v>
      </c>
      <c r="E419" s="334">
        <f t="shared" si="67"/>
        <v>3753.3</v>
      </c>
      <c r="F419" s="335"/>
    </row>
    <row r="420" spans="1:23" ht="13.8" thickBot="1" x14ac:dyDescent="0.3">
      <c r="A420" s="125" t="s">
        <v>193</v>
      </c>
      <c r="B420" s="116" t="s">
        <v>194</v>
      </c>
      <c r="C420" s="375">
        <v>10000</v>
      </c>
      <c r="D420" s="375">
        <v>10000</v>
      </c>
      <c r="E420" s="375">
        <v>3753.3</v>
      </c>
      <c r="F420" s="208"/>
    </row>
    <row r="421" spans="1:23" s="102" customFormat="1" ht="13.8" thickTop="1" x14ac:dyDescent="0.25">
      <c r="A421" s="182"/>
      <c r="B421" s="183"/>
      <c r="C421" s="316"/>
      <c r="D421" s="316"/>
      <c r="E421" s="316"/>
      <c r="F421" s="209"/>
    </row>
    <row r="422" spans="1:23" s="153" customFormat="1" ht="16.5" customHeight="1" x14ac:dyDescent="0.25">
      <c r="A422" s="160" t="s">
        <v>368</v>
      </c>
      <c r="B422" s="332"/>
      <c r="C422" s="315"/>
      <c r="D422" s="315"/>
      <c r="E422" s="315"/>
      <c r="F422" s="204"/>
    </row>
    <row r="423" spans="1:23" s="153" customFormat="1" ht="16.5" customHeight="1" x14ac:dyDescent="0.25">
      <c r="A423" s="160"/>
      <c r="B423" s="332"/>
      <c r="C423" s="315"/>
      <c r="D423" s="315"/>
      <c r="E423" s="315"/>
      <c r="F423" s="204"/>
    </row>
    <row r="424" spans="1:23" s="102" customFormat="1" x14ac:dyDescent="0.25">
      <c r="A424" s="111" t="s">
        <v>355</v>
      </c>
      <c r="B424" s="336"/>
      <c r="C424" s="311"/>
      <c r="D424" s="311"/>
      <c r="E424" s="311"/>
      <c r="F424" s="186"/>
      <c r="G424" s="110"/>
      <c r="H424" s="110"/>
      <c r="I424" s="110"/>
      <c r="J424" s="110"/>
      <c r="K424" s="110"/>
      <c r="L424" s="110"/>
      <c r="M424" s="110"/>
      <c r="N424" s="110"/>
      <c r="O424" s="110"/>
      <c r="P424" s="110"/>
      <c r="Q424" s="110"/>
      <c r="R424" s="110"/>
      <c r="S424" s="110"/>
      <c r="T424" s="110"/>
      <c r="U424" s="110"/>
      <c r="V424" s="110"/>
      <c r="W424" s="110"/>
    </row>
    <row r="425" spans="1:23" s="102" customFormat="1" ht="13.8" thickBot="1" x14ac:dyDescent="0.3">
      <c r="A425" s="390"/>
      <c r="B425" s="390"/>
      <c r="C425" s="390"/>
      <c r="D425" s="390"/>
      <c r="E425" s="390"/>
      <c r="F425" s="390"/>
    </row>
    <row r="426" spans="1:23" s="102" customFormat="1" ht="40.799999999999997" thickTop="1" thickBot="1" x14ac:dyDescent="0.3">
      <c r="A426" s="117" t="s">
        <v>304</v>
      </c>
      <c r="B426" s="118" t="s">
        <v>259</v>
      </c>
      <c r="C426" s="118" t="s">
        <v>359</v>
      </c>
      <c r="D426" s="118" t="s">
        <v>360</v>
      </c>
      <c r="E426" s="118" t="s">
        <v>374</v>
      </c>
      <c r="F426" s="187" t="s">
        <v>260</v>
      </c>
    </row>
    <row r="427" spans="1:23" s="102" customFormat="1" ht="14.4" thickTop="1" thickBot="1" x14ac:dyDescent="0.3">
      <c r="A427" s="491">
        <v>1</v>
      </c>
      <c r="B427" s="492"/>
      <c r="C427" s="118">
        <v>2</v>
      </c>
      <c r="D427" s="118">
        <v>3</v>
      </c>
      <c r="E427" s="118">
        <v>4</v>
      </c>
      <c r="F427" s="187" t="s">
        <v>261</v>
      </c>
    </row>
    <row r="428" spans="1:23" s="102" customFormat="1" ht="13.8" thickTop="1" x14ac:dyDescent="0.25">
      <c r="A428" s="350" t="s">
        <v>6</v>
      </c>
      <c r="B428" s="135" t="s">
        <v>207</v>
      </c>
      <c r="C428" s="359">
        <f>C429+C436</f>
        <v>7500</v>
      </c>
      <c r="D428" s="359">
        <f t="shared" ref="D428:E428" si="68">D429+D436</f>
        <v>7500</v>
      </c>
      <c r="E428" s="359">
        <f t="shared" si="68"/>
        <v>7389.01</v>
      </c>
      <c r="F428" s="351">
        <f t="shared" ref="F428:F429" si="69">E428/D428*100</f>
        <v>98.520133333333334</v>
      </c>
    </row>
    <row r="429" spans="1:23" s="102" customFormat="1" x14ac:dyDescent="0.25">
      <c r="A429" s="352" t="s">
        <v>208</v>
      </c>
      <c r="B429" s="142" t="s">
        <v>214</v>
      </c>
      <c r="C429" s="360">
        <f>C430+C432+C434</f>
        <v>7500</v>
      </c>
      <c r="D429" s="360">
        <f>D430+D432+D434</f>
        <v>7500</v>
      </c>
      <c r="E429" s="360">
        <f>E430+E432+E434</f>
        <v>7389.01</v>
      </c>
      <c r="F429" s="353">
        <f t="shared" si="69"/>
        <v>98.520133333333334</v>
      </c>
    </row>
    <row r="430" spans="1:23" s="102" customFormat="1" x14ac:dyDescent="0.25">
      <c r="A430" s="227" t="s">
        <v>106</v>
      </c>
      <c r="B430" s="126" t="s">
        <v>107</v>
      </c>
      <c r="C430" s="334">
        <f>SUM(C431:C431)</f>
        <v>7500</v>
      </c>
      <c r="D430" s="334">
        <f>SUM(D431:D431)</f>
        <v>7500</v>
      </c>
      <c r="E430" s="334">
        <f>SUM(E431:E431)</f>
        <v>7389.01</v>
      </c>
      <c r="F430" s="335"/>
    </row>
    <row r="431" spans="1:23" s="102" customFormat="1" x14ac:dyDescent="0.25">
      <c r="A431" s="122" t="s">
        <v>108</v>
      </c>
      <c r="B431" s="113" t="s">
        <v>109</v>
      </c>
      <c r="C431" s="161">
        <v>7500</v>
      </c>
      <c r="D431" s="161">
        <v>7500</v>
      </c>
      <c r="E431" s="161">
        <v>7389.01</v>
      </c>
      <c r="F431" s="207"/>
    </row>
    <row r="432" spans="1:23" s="102" customFormat="1" x14ac:dyDescent="0.25">
      <c r="A432" s="124" t="s">
        <v>112</v>
      </c>
      <c r="B432" s="115" t="s">
        <v>113</v>
      </c>
      <c r="C432" s="162">
        <f>C433</f>
        <v>0</v>
      </c>
      <c r="D432" s="162">
        <f>D433</f>
        <v>0</v>
      </c>
      <c r="E432" s="162">
        <f>E433</f>
        <v>0</v>
      </c>
      <c r="F432" s="205"/>
    </row>
    <row r="433" spans="1:23" s="102" customFormat="1" x14ac:dyDescent="0.25">
      <c r="A433" s="122" t="s">
        <v>114</v>
      </c>
      <c r="B433" s="113" t="s">
        <v>113</v>
      </c>
      <c r="C433" s="161">
        <v>0</v>
      </c>
      <c r="D433" s="161">
        <v>0</v>
      </c>
      <c r="E433" s="161">
        <v>0</v>
      </c>
      <c r="F433" s="207"/>
    </row>
    <row r="434" spans="1:23" s="102" customFormat="1" x14ac:dyDescent="0.25">
      <c r="A434" s="124" t="s">
        <v>115</v>
      </c>
      <c r="B434" s="115" t="s">
        <v>116</v>
      </c>
      <c r="C434" s="162">
        <f>C435</f>
        <v>0</v>
      </c>
      <c r="D434" s="162">
        <f t="shared" ref="D434:E434" si="70">D435</f>
        <v>0</v>
      </c>
      <c r="E434" s="162">
        <f t="shared" si="70"/>
        <v>0</v>
      </c>
      <c r="F434" s="205"/>
    </row>
    <row r="435" spans="1:23" s="102" customFormat="1" x14ac:dyDescent="0.25">
      <c r="A435" s="140" t="s">
        <v>117</v>
      </c>
      <c r="B435" s="354" t="s">
        <v>118</v>
      </c>
      <c r="C435" s="361">
        <v>0</v>
      </c>
      <c r="D435" s="361">
        <v>0</v>
      </c>
      <c r="E435" s="361">
        <v>0</v>
      </c>
      <c r="F435" s="355"/>
    </row>
    <row r="436" spans="1:23" s="102" customFormat="1" x14ac:dyDescent="0.25">
      <c r="A436" s="352" t="s">
        <v>209</v>
      </c>
      <c r="B436" s="142" t="s">
        <v>215</v>
      </c>
      <c r="C436" s="360">
        <f>C437</f>
        <v>0</v>
      </c>
      <c r="D436" s="360">
        <f t="shared" ref="D436:E436" si="71">D437</f>
        <v>0</v>
      </c>
      <c r="E436" s="360">
        <f t="shared" si="71"/>
        <v>0</v>
      </c>
      <c r="F436" s="353" t="e">
        <f t="shared" ref="F436" si="72">E436/D436*100</f>
        <v>#DIV/0!</v>
      </c>
    </row>
    <row r="437" spans="1:23" s="102" customFormat="1" x14ac:dyDescent="0.25">
      <c r="A437" s="227" t="s">
        <v>119</v>
      </c>
      <c r="B437" s="126" t="s">
        <v>120</v>
      </c>
      <c r="C437" s="334">
        <f>SUM(C438:C439)</f>
        <v>0</v>
      </c>
      <c r="D437" s="334">
        <f t="shared" ref="D437:E437" si="73">SUM(D438:D439)</f>
        <v>0</v>
      </c>
      <c r="E437" s="334">
        <f t="shared" si="73"/>
        <v>0</v>
      </c>
      <c r="F437" s="335"/>
    </row>
    <row r="438" spans="1:23" s="102" customFormat="1" x14ac:dyDescent="0.25">
      <c r="A438" s="122" t="s">
        <v>121</v>
      </c>
      <c r="B438" s="113" t="s">
        <v>122</v>
      </c>
      <c r="C438" s="161">
        <v>0</v>
      </c>
      <c r="D438" s="161">
        <v>0</v>
      </c>
      <c r="E438" s="161">
        <v>0</v>
      </c>
      <c r="F438" s="207"/>
    </row>
    <row r="439" spans="1:23" s="102" customFormat="1" ht="13.8" thickBot="1" x14ac:dyDescent="0.3">
      <c r="A439" s="125" t="s">
        <v>123</v>
      </c>
      <c r="B439" s="116" t="s">
        <v>124</v>
      </c>
      <c r="C439" s="375">
        <v>0</v>
      </c>
      <c r="D439" s="375">
        <v>0</v>
      </c>
      <c r="E439" s="375">
        <v>0</v>
      </c>
      <c r="F439" s="208"/>
    </row>
    <row r="440" spans="1:23" s="102" customFormat="1" ht="13.8" thickTop="1" x14ac:dyDescent="0.25">
      <c r="A440" s="182"/>
      <c r="B440" s="183"/>
      <c r="C440" s="316"/>
      <c r="D440" s="316"/>
      <c r="E440" s="316"/>
      <c r="F440" s="209"/>
    </row>
    <row r="441" spans="1:23" s="102" customFormat="1" x14ac:dyDescent="0.25">
      <c r="A441" s="111" t="s">
        <v>369</v>
      </c>
      <c r="B441" s="330"/>
      <c r="C441" s="311"/>
      <c r="D441" s="311"/>
      <c r="E441" s="311"/>
      <c r="F441" s="186"/>
      <c r="G441" s="110"/>
      <c r="H441" s="110"/>
      <c r="I441" s="110"/>
      <c r="J441" s="110"/>
      <c r="K441" s="110"/>
      <c r="L441" s="110"/>
      <c r="M441" s="110"/>
      <c r="N441" s="110"/>
      <c r="O441" s="110"/>
      <c r="P441" s="110"/>
      <c r="Q441" s="110"/>
      <c r="R441" s="110"/>
      <c r="S441" s="110"/>
      <c r="T441" s="110"/>
      <c r="U441" s="110"/>
      <c r="V441" s="110"/>
      <c r="W441" s="110"/>
    </row>
    <row r="442" spans="1:23" s="102" customFormat="1" ht="13.8" thickBot="1" x14ac:dyDescent="0.3">
      <c r="A442" s="390"/>
      <c r="B442" s="390"/>
      <c r="C442" s="390"/>
      <c r="D442" s="390"/>
      <c r="E442" s="390"/>
      <c r="F442" s="390"/>
    </row>
    <row r="443" spans="1:23" s="102" customFormat="1" ht="40.799999999999997" thickTop="1" thickBot="1" x14ac:dyDescent="0.3">
      <c r="A443" s="117" t="s">
        <v>304</v>
      </c>
      <c r="B443" s="118" t="s">
        <v>259</v>
      </c>
      <c r="C443" s="118" t="s">
        <v>359</v>
      </c>
      <c r="D443" s="118" t="s">
        <v>360</v>
      </c>
      <c r="E443" s="118" t="s">
        <v>374</v>
      </c>
      <c r="F443" s="187" t="s">
        <v>260</v>
      </c>
    </row>
    <row r="444" spans="1:23" s="102" customFormat="1" ht="14.4" thickTop="1" thickBot="1" x14ac:dyDescent="0.3">
      <c r="A444" s="491">
        <v>1</v>
      </c>
      <c r="B444" s="492"/>
      <c r="C444" s="118">
        <v>2</v>
      </c>
      <c r="D444" s="118">
        <v>3</v>
      </c>
      <c r="E444" s="118">
        <v>4</v>
      </c>
      <c r="F444" s="187" t="s">
        <v>261</v>
      </c>
    </row>
    <row r="445" spans="1:23" s="102" customFormat="1" ht="13.8" thickTop="1" x14ac:dyDescent="0.25">
      <c r="A445" s="350" t="s">
        <v>6</v>
      </c>
      <c r="B445" s="135" t="s">
        <v>207</v>
      </c>
      <c r="C445" s="359">
        <f>C446+C453</f>
        <v>83600</v>
      </c>
      <c r="D445" s="359">
        <f t="shared" ref="D445:E445" si="74">D446+D453</f>
        <v>78500</v>
      </c>
      <c r="E445" s="359">
        <f t="shared" si="74"/>
        <v>76255.41</v>
      </c>
      <c r="F445" s="351">
        <f t="shared" ref="F445:F453" si="75">E445/D445*100</f>
        <v>97.140649681528672</v>
      </c>
    </row>
    <row r="446" spans="1:23" s="102" customFormat="1" x14ac:dyDescent="0.25">
      <c r="A446" s="352" t="s">
        <v>208</v>
      </c>
      <c r="B446" s="142" t="s">
        <v>214</v>
      </c>
      <c r="C446" s="360">
        <f>C447+C449+C451</f>
        <v>79300</v>
      </c>
      <c r="D446" s="360">
        <f>D447+D449+D451</f>
        <v>74200</v>
      </c>
      <c r="E446" s="360">
        <f>E447+E449+E451</f>
        <v>72092.98</v>
      </c>
      <c r="F446" s="353">
        <f t="shared" si="75"/>
        <v>97.160350404312666</v>
      </c>
    </row>
    <row r="447" spans="1:23" s="102" customFormat="1" x14ac:dyDescent="0.25">
      <c r="A447" s="227" t="s">
        <v>106</v>
      </c>
      <c r="B447" s="126" t="s">
        <v>107</v>
      </c>
      <c r="C447" s="334">
        <f>SUM(C448:C448)</f>
        <v>62900</v>
      </c>
      <c r="D447" s="334">
        <f>SUM(D448:D448)</f>
        <v>58900</v>
      </c>
      <c r="E447" s="334">
        <f>SUM(E448:E448)</f>
        <v>57144.78</v>
      </c>
      <c r="F447" s="335"/>
    </row>
    <row r="448" spans="1:23" s="102" customFormat="1" x14ac:dyDescent="0.25">
      <c r="A448" s="122" t="s">
        <v>108</v>
      </c>
      <c r="B448" s="113" t="s">
        <v>109</v>
      </c>
      <c r="C448" s="161">
        <v>62900</v>
      </c>
      <c r="D448" s="161">
        <v>58900</v>
      </c>
      <c r="E448" s="161">
        <v>57144.78</v>
      </c>
      <c r="F448" s="207"/>
    </row>
    <row r="449" spans="1:6" s="102" customFormat="1" x14ac:dyDescent="0.25">
      <c r="A449" s="124" t="s">
        <v>112</v>
      </c>
      <c r="B449" s="115" t="s">
        <v>113</v>
      </c>
      <c r="C449" s="162">
        <f>C450</f>
        <v>4800</v>
      </c>
      <c r="D449" s="162">
        <f>D450</f>
        <v>4500</v>
      </c>
      <c r="E449" s="162">
        <f>E450</f>
        <v>4300</v>
      </c>
      <c r="F449" s="205"/>
    </row>
    <row r="450" spans="1:6" s="102" customFormat="1" x14ac:dyDescent="0.25">
      <c r="A450" s="122" t="s">
        <v>114</v>
      </c>
      <c r="B450" s="113" t="s">
        <v>113</v>
      </c>
      <c r="C450" s="161">
        <v>4800</v>
      </c>
      <c r="D450" s="161">
        <v>4500</v>
      </c>
      <c r="E450" s="161">
        <v>4300</v>
      </c>
      <c r="F450" s="207"/>
    </row>
    <row r="451" spans="1:6" s="102" customFormat="1" x14ac:dyDescent="0.25">
      <c r="A451" s="124" t="s">
        <v>115</v>
      </c>
      <c r="B451" s="115" t="s">
        <v>116</v>
      </c>
      <c r="C451" s="162">
        <f>C452</f>
        <v>11600</v>
      </c>
      <c r="D451" s="162">
        <f t="shared" ref="D451:E451" si="76">D452</f>
        <v>10800</v>
      </c>
      <c r="E451" s="162">
        <f t="shared" si="76"/>
        <v>10648.2</v>
      </c>
      <c r="F451" s="205"/>
    </row>
    <row r="452" spans="1:6" s="102" customFormat="1" x14ac:dyDescent="0.25">
      <c r="A452" s="140" t="s">
        <v>117</v>
      </c>
      <c r="B452" s="354" t="s">
        <v>118</v>
      </c>
      <c r="C452" s="361">
        <v>11600</v>
      </c>
      <c r="D452" s="361">
        <v>10800</v>
      </c>
      <c r="E452" s="361">
        <v>10648.2</v>
      </c>
      <c r="F452" s="355"/>
    </row>
    <row r="453" spans="1:6" s="102" customFormat="1" x14ac:dyDescent="0.25">
      <c r="A453" s="352" t="s">
        <v>209</v>
      </c>
      <c r="B453" s="142" t="s">
        <v>215</v>
      </c>
      <c r="C453" s="360">
        <f>C454</f>
        <v>4300</v>
      </c>
      <c r="D453" s="360">
        <f t="shared" ref="D453:E453" si="77">D454</f>
        <v>4300</v>
      </c>
      <c r="E453" s="360">
        <f t="shared" si="77"/>
        <v>4162.43</v>
      </c>
      <c r="F453" s="353">
        <f t="shared" si="75"/>
        <v>96.800697674418615</v>
      </c>
    </row>
    <row r="454" spans="1:6" s="102" customFormat="1" x14ac:dyDescent="0.25">
      <c r="A454" s="227" t="s">
        <v>119</v>
      </c>
      <c r="B454" s="126" t="s">
        <v>120</v>
      </c>
      <c r="C454" s="334">
        <f>SUM(C455:C456)</f>
        <v>4300</v>
      </c>
      <c r="D454" s="334">
        <f t="shared" ref="D454:E454" si="78">SUM(D455:D456)</f>
        <v>4300</v>
      </c>
      <c r="E454" s="334">
        <f t="shared" si="78"/>
        <v>4162.43</v>
      </c>
      <c r="F454" s="335"/>
    </row>
    <row r="455" spans="1:6" s="102" customFormat="1" x14ac:dyDescent="0.25">
      <c r="A455" s="122" t="s">
        <v>121</v>
      </c>
      <c r="B455" s="113" t="s">
        <v>122</v>
      </c>
      <c r="C455" s="161">
        <v>200</v>
      </c>
      <c r="D455" s="161">
        <v>200</v>
      </c>
      <c r="E455" s="161">
        <v>90</v>
      </c>
      <c r="F455" s="207"/>
    </row>
    <row r="456" spans="1:6" s="102" customFormat="1" ht="13.8" thickBot="1" x14ac:dyDescent="0.3">
      <c r="A456" s="122" t="s">
        <v>123</v>
      </c>
      <c r="B456" s="113" t="s">
        <v>124</v>
      </c>
      <c r="C456" s="161">
        <v>4100</v>
      </c>
      <c r="D456" s="161">
        <v>4100</v>
      </c>
      <c r="E456" s="161">
        <v>4072.43</v>
      </c>
      <c r="F456" s="207"/>
    </row>
    <row r="457" spans="1:6" s="153" customFormat="1" ht="16.5" customHeight="1" thickTop="1" thickBot="1" x14ac:dyDescent="0.3">
      <c r="A457" s="282"/>
      <c r="B457" s="283" t="s">
        <v>348</v>
      </c>
      <c r="C457" s="377">
        <f>C129+C169+C181+C193+C212+C237+C259+C271+C305+C322+C343+C368+C377+C388+C397+C408+C417+C428+C445</f>
        <v>2528080</v>
      </c>
      <c r="D457" s="377">
        <f t="shared" ref="D457:E457" si="79">D129+D169+D181+D193+D212+D237+D259+D271+D305+D322+D343+D368+D377+D388+D397+D408+D417+D428+D445</f>
        <v>2609550</v>
      </c>
      <c r="E457" s="377">
        <f t="shared" si="79"/>
        <v>2544173.1899999995</v>
      </c>
      <c r="F457" s="284">
        <f>E457/D457*100</f>
        <v>97.494709432660784</v>
      </c>
    </row>
    <row r="458" spans="1:6" ht="13.8" thickTop="1" x14ac:dyDescent="0.25"/>
  </sheetData>
  <mergeCells count="73">
    <mergeCell ref="A442:F442"/>
    <mergeCell ref="A444:B444"/>
    <mergeCell ref="A126:F126"/>
    <mergeCell ref="A128:B128"/>
    <mergeCell ref="A106:B106"/>
    <mergeCell ref="A109:F109"/>
    <mergeCell ref="A111:B111"/>
    <mergeCell ref="A116:B116"/>
    <mergeCell ref="A121:F121"/>
    <mergeCell ref="A190:F190"/>
    <mergeCell ref="A192:B192"/>
    <mergeCell ref="A209:F209"/>
    <mergeCell ref="A211:B211"/>
    <mergeCell ref="A234:F234"/>
    <mergeCell ref="A236:B236"/>
    <mergeCell ref="A256:F256"/>
    <mergeCell ref="A89:F89"/>
    <mergeCell ref="A91:B91"/>
    <mergeCell ref="A96:B96"/>
    <mergeCell ref="A99:F99"/>
    <mergeCell ref="A101:B101"/>
    <mergeCell ref="A74:B74"/>
    <mergeCell ref="A77:F77"/>
    <mergeCell ref="A79:B79"/>
    <mergeCell ref="A84:B84"/>
    <mergeCell ref="A86:B86"/>
    <mergeCell ref="A30:B30"/>
    <mergeCell ref="A33:F33"/>
    <mergeCell ref="A35:B35"/>
    <mergeCell ref="A42:B42"/>
    <mergeCell ref="A45:F45"/>
    <mergeCell ref="A5:W5"/>
    <mergeCell ref="A166:F166"/>
    <mergeCell ref="A168:B168"/>
    <mergeCell ref="A178:F178"/>
    <mergeCell ref="A180:B180"/>
    <mergeCell ref="A6:F6"/>
    <mergeCell ref="A7:F7"/>
    <mergeCell ref="A8:F8"/>
    <mergeCell ref="A9:F9"/>
    <mergeCell ref="A26:B26"/>
    <mergeCell ref="A11:F11"/>
    <mergeCell ref="A24:F24"/>
    <mergeCell ref="A47:B47"/>
    <mergeCell ref="A57:B57"/>
    <mergeCell ref="A60:F60"/>
    <mergeCell ref="A62:B62"/>
    <mergeCell ref="A258:B258"/>
    <mergeCell ref="A268:F268"/>
    <mergeCell ref="A270:B270"/>
    <mergeCell ref="A319:F319"/>
    <mergeCell ref="A321:B321"/>
    <mergeCell ref="A427:B427"/>
    <mergeCell ref="A14:F14"/>
    <mergeCell ref="A16:B16"/>
    <mergeCell ref="A21:B21"/>
    <mergeCell ref="A414:F414"/>
    <mergeCell ref="A416:B416"/>
    <mergeCell ref="A374:F374"/>
    <mergeCell ref="A376:B376"/>
    <mergeCell ref="A365:F365"/>
    <mergeCell ref="A367:B367"/>
    <mergeCell ref="A385:F385"/>
    <mergeCell ref="A387:B387"/>
    <mergeCell ref="A302:F302"/>
    <mergeCell ref="A304:B304"/>
    <mergeCell ref="A340:F340"/>
    <mergeCell ref="A342:B342"/>
    <mergeCell ref="A394:F394"/>
    <mergeCell ref="A396:B396"/>
    <mergeCell ref="A405:F405"/>
    <mergeCell ref="A407:B407"/>
    <mergeCell ref="A425:F425"/>
  </mergeCells>
  <pageMargins left="0.51181102362204722" right="0.51181102362204722" top="0.59055118110236227" bottom="0.39370078740157483" header="0.31496062992125984" footer="0.31496062992125984"/>
  <pageSetup paperSize="9" scale="79" fitToHeight="0" orientation="landscape" r:id="rId1"/>
  <rowBreaks count="10" manualBreakCount="10">
    <brk id="42" max="5" man="1"/>
    <brk id="85" max="5" man="1"/>
    <brk id="120" max="5" man="1"/>
    <brk id="162" max="5" man="1"/>
    <brk id="206" max="5" man="1"/>
    <brk id="253" max="5" man="1"/>
    <brk id="299" max="5" man="1"/>
    <brk id="344" max="5" man="1"/>
    <brk id="382" max="5" man="1"/>
    <brk id="42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1</vt:i4>
      </vt:variant>
    </vt:vector>
  </HeadingPairs>
  <TitlesOfParts>
    <vt:vector size="9" baseType="lpstr">
      <vt:lpstr>Izvještaj o izvr.proračuna OPĆI</vt:lpstr>
      <vt:lpstr>Prihodi i rashodi prema ekonoms</vt:lpstr>
      <vt:lpstr>Prihodi i rashodi prema izvorim</vt:lpstr>
      <vt:lpstr>Izvještaj po funkcijskoj klasif</vt:lpstr>
      <vt:lpstr>Račun financiranja prema ekonom</vt:lpstr>
      <vt:lpstr>Račun financiranja prema izvori</vt:lpstr>
      <vt:lpstr>Izvještaj po programskoj k</vt:lpstr>
      <vt:lpstr>List1</vt:lpstr>
      <vt:lpstr>'Izvještaj po programskoj k'!Podrucje_ispisa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soukup</dc:creator>
  <cp:lastModifiedBy>Korisnik</cp:lastModifiedBy>
  <cp:lastPrinted>2026-02-24T11:52:12Z</cp:lastPrinted>
  <dcterms:created xsi:type="dcterms:W3CDTF">2021-08-04T11:54:14Z</dcterms:created>
  <dcterms:modified xsi:type="dcterms:W3CDTF">2026-03-31T08:28:19Z</dcterms:modified>
</cp:coreProperties>
</file>